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0" windowWidth="15480" windowHeight="4995" tabRatio="599" firstSheet="1" activeTab="4"/>
  </bookViews>
  <sheets>
    <sheet name="Metodologija" sheetId="1" r:id="rId1"/>
    <sheet name="Sheet5" sheetId="2" r:id="rId2"/>
    <sheet name="Polit.stranke" sheetId="3" r:id="rId3"/>
    <sheet name="Tab prihodi" sheetId="4" r:id="rId4"/>
    <sheet name="Tabelarni deo rashodi" sheetId="5" r:id="rId5"/>
    <sheet name="Prihodi odluka" sheetId="6" r:id="rId6"/>
    <sheet name="Sheet1" sheetId="7" r:id="rId7"/>
    <sheet name="Sheet3" sheetId="8" r:id="rId8"/>
    <sheet name="Sheet4" sheetId="9" r:id="rId9"/>
    <sheet name="Sheet2" sheetId="10" r:id="rId10"/>
    <sheet name="Direktni korisnici" sheetId="11" r:id="rId11"/>
  </sheets>
  <externalReferences>
    <externalReference r:id="rId14"/>
    <externalReference r:id="rId15"/>
  </externalReferences>
  <definedNames>
    <definedName name="_xlnm.Print_Area" localSheetId="4">'Tabelarni deo rashodi'!$A$2:$R$1144</definedName>
    <definedName name="_xlnm.Print_Titles" localSheetId="3">'Tab prihodi'!$4:$6</definedName>
    <definedName name="_xlnm.Print_Titles" localSheetId="4">'Tabelarni deo rashodi'!$82:$85</definedName>
  </definedNames>
  <calcPr fullCalcOnLoad="1"/>
</workbook>
</file>

<file path=xl/comments4.xml><?xml version="1.0" encoding="utf-8"?>
<comments xmlns="http://schemas.openxmlformats.org/spreadsheetml/2006/main">
  <authors>
    <author>Zoran Dunic</author>
  </authors>
  <commentList>
    <comment ref="E58" authorId="0">
      <text>
        <r>
          <rPr>
            <b/>
            <sz val="8"/>
            <rFont val="Tahoma"/>
            <family val="2"/>
          </rPr>
          <t>Zoran Dunic:</t>
        </r>
        <r>
          <rPr>
            <sz val="8"/>
            <rFont val="Tahoma"/>
            <family val="2"/>
          </rPr>
          <t xml:space="preserve">
da spustim na 742153
</t>
        </r>
      </text>
    </comment>
  </commentList>
</comments>
</file>

<file path=xl/comments5.xml><?xml version="1.0" encoding="utf-8"?>
<comments xmlns="http://schemas.openxmlformats.org/spreadsheetml/2006/main">
  <authors>
    <author>XP</author>
  </authors>
  <commentList>
    <comment ref="E888" authorId="0">
      <text>
        <r>
          <rPr>
            <b/>
            <sz val="8"/>
            <rFont val="Tahoma"/>
            <family val="2"/>
          </rPr>
          <t>XP:</t>
        </r>
        <r>
          <rPr>
            <sz val="8"/>
            <rFont val="Tahoma"/>
            <family val="2"/>
          </rPr>
          <t xml:space="preserve">
Promena ekonomske klasifikacije iz 512 u 511
</t>
        </r>
      </text>
    </comment>
    <comment ref="E275" authorId="0">
      <text>
        <r>
          <rPr>
            <b/>
            <sz val="8"/>
            <rFont val="Tahoma"/>
            <family val="2"/>
          </rPr>
          <t>XP:</t>
        </r>
        <r>
          <rPr>
            <sz val="8"/>
            <rFont val="Tahoma"/>
            <family val="2"/>
          </rPr>
          <t xml:space="preserve">
Rešenje o usklađivanju ekon.klasifikacija
425 u 420
</t>
        </r>
      </text>
    </comment>
  </commentList>
</comments>
</file>

<file path=xl/sharedStrings.xml><?xml version="1.0" encoding="utf-8"?>
<sst xmlns="http://schemas.openxmlformats.org/spreadsheetml/2006/main" count="2123" uniqueCount="959">
  <si>
    <t>040</t>
  </si>
  <si>
    <t>Red.</t>
  </si>
  <si>
    <t>Ekonomska klasifikacija</t>
  </si>
  <si>
    <t>br.</t>
  </si>
  <si>
    <t xml:space="preserve">Konto </t>
  </si>
  <si>
    <t>Porez na dohodak, dobit i kapitalne dobitke</t>
  </si>
  <si>
    <t>Porez na zarade</t>
  </si>
  <si>
    <t>Porez na prihode od samostalne delatnosti</t>
  </si>
  <si>
    <t>Porez na prihode od imovine</t>
  </si>
  <si>
    <t>Samodoprinosi</t>
  </si>
  <si>
    <t>Porez na druge prihode</t>
  </si>
  <si>
    <t>Ukupno 711:</t>
  </si>
  <si>
    <t>Porez na imovinu</t>
  </si>
  <si>
    <t>Porez na nasleđe i poklon</t>
  </si>
  <si>
    <t>Porez na kapitalne transakcije</t>
  </si>
  <si>
    <t>Ukupno 713:</t>
  </si>
  <si>
    <t>Porezi na dobra i usluge</t>
  </si>
  <si>
    <t>Komunalna taksa za korišćenje reklamnih panoa</t>
  </si>
  <si>
    <t xml:space="preserve">Porezi na motorna vozila </t>
  </si>
  <si>
    <t>Naknada za koriš. dobara od opšteg inter.</t>
  </si>
  <si>
    <t>Boravišna taksa</t>
  </si>
  <si>
    <t>Opštinske i gradske komunalne takse</t>
  </si>
  <si>
    <t>Ukupno 714:</t>
  </si>
  <si>
    <t>Drugi porezi</t>
  </si>
  <si>
    <t>Komunalna taksa na firmu</t>
  </si>
  <si>
    <t>Ukupno 716:</t>
  </si>
  <si>
    <t>Donacije i transferi</t>
  </si>
  <si>
    <t>Nenamenski transferi od Rep.u korist nivoa ops.</t>
  </si>
  <si>
    <t>Ukupno 730:</t>
  </si>
  <si>
    <t>Prihodi od imovine</t>
  </si>
  <si>
    <t xml:space="preserve">Komunalna taksa za korišćenje prostora na javnim </t>
  </si>
  <si>
    <t>površinama ili ispred poslovnih prostorija u poslovne svrhe,</t>
  </si>
  <si>
    <t xml:space="preserve"> osim radi prodaje štampe, knjiga i drugih publikacija, ...</t>
  </si>
  <si>
    <t>Komunalna taksa za korišćenje pros.za park.dr.mot</t>
  </si>
  <si>
    <t>Naknada za korišćenje građevinskog zemljišta</t>
  </si>
  <si>
    <t>Komunalna taksa za zauzece javne povr.gradj.mater.</t>
  </si>
  <si>
    <t>Naknada za korišćenje rečnih obala i banja</t>
  </si>
  <si>
    <t>Ukupno 741:</t>
  </si>
  <si>
    <t>Prihodi od prodaje dobara i usluga</t>
  </si>
  <si>
    <t>Opštinske administrativne takse</t>
  </si>
  <si>
    <t>Naknada za uređivanje građevinskog zemljišta</t>
  </si>
  <si>
    <t>Prihodi opštinskih organa uprave</t>
  </si>
  <si>
    <t>Ukupno 742:</t>
  </si>
  <si>
    <t>Novčane kazne i oduzeta imovinska korist</t>
  </si>
  <si>
    <t>Prihodi od nov.kazni za saobraćajne prekršaje</t>
  </si>
  <si>
    <t>Novčane kazne izrečene u prekršajnom postupku</t>
  </si>
  <si>
    <t xml:space="preserve"> za prekršaje propisane aktom skupštine opštine, </t>
  </si>
  <si>
    <t>kao i  oduzeta imovinska korist u tom postupku</t>
  </si>
  <si>
    <t>Ukupno 743:</t>
  </si>
  <si>
    <t>Tekući i dobrovoljni transferi od fizičkih i prav.lica</t>
  </si>
  <si>
    <t>Tekući i dobrovoljni transferi od fizičkih i pravnih lica</t>
  </si>
  <si>
    <t>u korist nivoa opština</t>
  </si>
  <si>
    <t>Ukupno 744:</t>
  </si>
  <si>
    <t>Mešoviti i neodređeni prihodi</t>
  </si>
  <si>
    <t xml:space="preserve">Mešoviti i neodređeni prihodi u korist nivoa opština </t>
  </si>
  <si>
    <t>Ukupno 745:</t>
  </si>
  <si>
    <t>UKUPNI PRIHODI I PRIMANJA:</t>
  </si>
  <si>
    <t>04</t>
  </si>
  <si>
    <t>10</t>
  </si>
  <si>
    <t>Budžet</t>
  </si>
  <si>
    <t>Tekuće donacije od međ.organizacija</t>
  </si>
  <si>
    <t>Ukupno 732:</t>
  </si>
  <si>
    <t>Index</t>
  </si>
  <si>
    <t>Slivna vodna naknada od prav.lica</t>
  </si>
  <si>
    <t>Drugi tekući transferi od Repšublike u orist nivoa opstina</t>
  </si>
  <si>
    <t>Primanja od prodaje ostalih osnovnih sredstava</t>
  </si>
  <si>
    <t xml:space="preserve">Tekući namenski transfer u užem smislu od Republike </t>
  </si>
  <si>
    <t>(4+5+6+7)</t>
  </si>
  <si>
    <t>Tekući transferi gradova u korist nivoa opština</t>
  </si>
  <si>
    <t>O p i s</t>
  </si>
  <si>
    <t>2.1.</t>
  </si>
  <si>
    <t>2.2.</t>
  </si>
  <si>
    <t>4.1.</t>
  </si>
  <si>
    <t>01</t>
  </si>
  <si>
    <t>4.2.2.</t>
  </si>
  <si>
    <t>4.2.</t>
  </si>
  <si>
    <t>4.2.1.</t>
  </si>
  <si>
    <t>4.2.3.</t>
  </si>
  <si>
    <t>010</t>
  </si>
  <si>
    <t>4.3.</t>
  </si>
  <si>
    <t>4.3.1.</t>
  </si>
  <si>
    <t>Verske zajednice</t>
  </si>
  <si>
    <t>4.3.3.</t>
  </si>
  <si>
    <t>4.2.4.</t>
  </si>
  <si>
    <t>4.2.5.</t>
  </si>
  <si>
    <t>4.4.</t>
  </si>
  <si>
    <t>4.4.1.</t>
  </si>
  <si>
    <t>4.5.</t>
  </si>
  <si>
    <t>4.6.</t>
  </si>
  <si>
    <t>4.7.</t>
  </si>
  <si>
    <t>4.5.1.</t>
  </si>
  <si>
    <t>4.4.2.</t>
  </si>
  <si>
    <t>4.5.2.</t>
  </si>
  <si>
    <t>Crveni krst</t>
  </si>
  <si>
    <t>Poljoprivreda</t>
  </si>
  <si>
    <t>4.8.</t>
  </si>
  <si>
    <t>4.9.</t>
  </si>
  <si>
    <t>4.10.</t>
  </si>
  <si>
    <t>4.11.</t>
  </si>
  <si>
    <t>4.2.6.</t>
  </si>
  <si>
    <t>4.2.8.</t>
  </si>
  <si>
    <t>4.2.9.</t>
  </si>
  <si>
    <t>4.2.10.</t>
  </si>
  <si>
    <t>4.12.</t>
  </si>
  <si>
    <t>4.13.</t>
  </si>
  <si>
    <t>4.13.2.</t>
  </si>
  <si>
    <t>4.14.</t>
  </si>
  <si>
    <t>4.15.</t>
  </si>
  <si>
    <t>4.16.</t>
  </si>
  <si>
    <t>4.17.</t>
  </si>
  <si>
    <t>4.18.</t>
  </si>
  <si>
    <t>4.19.</t>
  </si>
  <si>
    <t>4.20.</t>
  </si>
  <si>
    <t>4.20.1.</t>
  </si>
  <si>
    <t>4.20.2.</t>
  </si>
  <si>
    <t>4.20.3.</t>
  </si>
  <si>
    <t>4.3.4.</t>
  </si>
  <si>
    <t>4.3.5.</t>
  </si>
  <si>
    <t>Ostvarenje</t>
  </si>
  <si>
    <t xml:space="preserve">    Vrsta prihoda</t>
  </si>
  <si>
    <t xml:space="preserve">Višak prihoda i primanja- suficit </t>
  </si>
  <si>
    <t>Porez na prihode od osiguranja lica</t>
  </si>
  <si>
    <t>Porez na fond zarada</t>
  </si>
  <si>
    <t>Porez na fond zarada ostalih zaposlenih</t>
  </si>
  <si>
    <t>Ukupno 712:</t>
  </si>
  <si>
    <t>Naknada za korišćenje opštinskih puteva</t>
  </si>
  <si>
    <t>Prihodi od prod.dob.ili usl.ili zakupa u korist nivoa opština</t>
  </si>
  <si>
    <t>Ukupno 813:</t>
  </si>
  <si>
    <t>Primanja od zaduživanja od poslovnih banaka</t>
  </si>
  <si>
    <t>Ukupno 911:</t>
  </si>
  <si>
    <t xml:space="preserve">               UTVRDJIVANJE SUFICITA,ODNOSNO DEFICITA PO ZAKONU O IZMENAMA</t>
  </si>
  <si>
    <t xml:space="preserve">                             I DOPUNAMA ZAKONA O BUDŽETSKOM SISTEMU</t>
  </si>
  <si>
    <t>RAČUN PRIHODA I PRIMANJA, RASHODA I IZDATAKA</t>
  </si>
  <si>
    <t xml:space="preserve">Iznos </t>
  </si>
  <si>
    <t>Izvori za finansiranje deficita</t>
  </si>
  <si>
    <t>u dinarima</t>
  </si>
  <si>
    <t>Опис</t>
  </si>
  <si>
    <t>Економска класификација</t>
  </si>
  <si>
    <t>Износ у динарима</t>
  </si>
  <si>
    <t>1.Ukupni prihodi i primanja ostvareni po osnovu prodaje nefinansijske imovine</t>
  </si>
  <si>
    <t>1. Neutrošeni višak prihoda iz ranijih godina</t>
  </si>
  <si>
    <t>2. Ukupni rashodi i izdaci za nabavku nefinansijske imovine</t>
  </si>
  <si>
    <t>3. Budžetski suficit/deficit (1-2)</t>
  </si>
  <si>
    <t>у динарима</t>
  </si>
  <si>
    <t>4. Izdaci za nabavku finansijske imovine (u cilju sprovođenja javnih politika)</t>
  </si>
  <si>
    <t xml:space="preserve">1. Изградња саобраћајних објеката </t>
  </si>
  <si>
    <t>5. Ukupan fiskalni suficit/deficit</t>
  </si>
  <si>
    <t>2. Водоснабдевање и канализација</t>
  </si>
  <si>
    <t>6. Korigovani budžetski suficit/deficit</t>
  </si>
  <si>
    <t>3. Средства за финансирање пројеката</t>
  </si>
  <si>
    <t>RAČUN FINANSIRANJA</t>
  </si>
  <si>
    <t>4. Прибављање имовине-непокретности</t>
  </si>
  <si>
    <t>511 </t>
  </si>
  <si>
    <t>5. Tekuća rezerva-otpremnine</t>
  </si>
  <si>
    <t>1. Primanja od prodaje finansijske imovine i zaduživanja</t>
  </si>
  <si>
    <t>6. Naknade štete usled elementarnih nepogoda</t>
  </si>
  <si>
    <t>1.1. Primanja od zaduživanja</t>
  </si>
  <si>
    <t>7. Naknade za socijalnu zaštitu iz budžeta</t>
  </si>
  <si>
    <t>1.2. Primanja od prodaje finansijske imovine</t>
  </si>
  <si>
    <t>8. Usluge lokalnog informisanja</t>
  </si>
  <si>
    <t>1.3. Neutrošeni višak prihoda iz ranijih godina</t>
  </si>
  <si>
    <t>9 Mesne zajednice</t>
  </si>
  <si>
    <t xml:space="preserve">       - od čega preneti prihodi koji nisu kreditno zaduženje</t>
  </si>
  <si>
    <t>10. Subvencije učenicima u osnovnom obrazovanju</t>
  </si>
  <si>
    <t>2. Izdaci za nabavku finansijske imovine i otplatu glavnice duga</t>
  </si>
  <si>
    <t>11. Krediti za učenike i studente</t>
  </si>
  <si>
    <t>2.1. Izdaci za otplatu glavnice duga</t>
  </si>
  <si>
    <t>Укупно:</t>
  </si>
  <si>
    <t>4. Neto finansiranje (1 - 2 - 3)</t>
  </si>
  <si>
    <t>DODATNI PRIHODI BUDŽETSKIH KORISNIKA</t>
  </si>
  <si>
    <t>PRIHODI BUDŽETSKIH FONDOVA</t>
  </si>
  <si>
    <t xml:space="preserve"> O p i s</t>
  </si>
  <si>
    <t>Šifra ekonomske</t>
  </si>
  <si>
    <t>Sredstva iz budžeta</t>
  </si>
  <si>
    <t>klasifikacije</t>
  </si>
  <si>
    <t>I UKUPNA PRIHODI I PRIMANJA OD PRODAJE NEFINANSIJSKE IMOVINE</t>
  </si>
  <si>
    <t>TEKUĆI PRIHODI</t>
  </si>
  <si>
    <t>1. Poreski prihodi</t>
  </si>
  <si>
    <t xml:space="preserve">Porez na dobra i usluge </t>
  </si>
  <si>
    <t>2. Neporeski prihodi, od čega (osim naknada koje se koriste preko Budžetskog fonda)</t>
  </si>
  <si>
    <t>- Prihodi od imovine</t>
  </si>
  <si>
    <t xml:space="preserve">* Kamate </t>
  </si>
  <si>
    <t>- Prihodi od prodaje dobara i usluga</t>
  </si>
  <si>
    <t>- Novčane kazne i oduzeta imovinska korist</t>
  </si>
  <si>
    <t>- Tekući dobrovoljni transferi od fizičkih i prav. lica</t>
  </si>
  <si>
    <t>- Mešoviti i neodređeni prihodi</t>
  </si>
  <si>
    <t>3. Donacije</t>
  </si>
  <si>
    <t>731+732</t>
  </si>
  <si>
    <t>4. Transferi</t>
  </si>
  <si>
    <t>II UKUPNI RASHODI I IZDACI ZA NABAVKU NEFINANSIJSKE I FINANSIJSKE IMOVINE</t>
  </si>
  <si>
    <t>RASHODI</t>
  </si>
  <si>
    <t>1. Rashodi za zaposlene</t>
  </si>
  <si>
    <t>2. Korišćenje roba i usluga</t>
  </si>
  <si>
    <t>3. Otplata kamata</t>
  </si>
  <si>
    <t>4. Subvencije</t>
  </si>
  <si>
    <t>5. Socijalna zaštita iz budžeta</t>
  </si>
  <si>
    <t>6. Ostali rashodi</t>
  </si>
  <si>
    <t>48+49</t>
  </si>
  <si>
    <t>TRANSFERI</t>
  </si>
  <si>
    <t>4631+4641</t>
  </si>
  <si>
    <t>IZDACI ZA NABAVKU NEFINANSIJSKE IMOVINE</t>
  </si>
  <si>
    <t>IZDACI ZA NABAVKU FINANSIJSKE IMOVINE (osim 6211)</t>
  </si>
  <si>
    <t>PRIMANJA OD PRODAJE FINANSIJSKE IMOVINE I ZADUŽIVANJA</t>
  </si>
  <si>
    <t>1. Primanja po osnovu otplate kredita i prodaje finansijske imovine</t>
  </si>
  <si>
    <t>2. Zaduživanje</t>
  </si>
  <si>
    <t>2.1. Zaduživanje kod domaćih kreditora</t>
  </si>
  <si>
    <t>2.2. Zaduživanje kod stranih kreditora</t>
  </si>
  <si>
    <t>OTPLATA DUGA I NABAVKA FINANSIJSKE IMOVINE</t>
  </si>
  <si>
    <t>3. Otplata duga</t>
  </si>
  <si>
    <t>3.1. Otplata duga domaćim kreditorima</t>
  </si>
  <si>
    <t>3.2. Otplata duga stranim kreditorima</t>
  </si>
  <si>
    <t>4. Nabavka finansijske imovine</t>
  </si>
  <si>
    <t xml:space="preserve">PRENETA NEUTROŠENA SREDSTVA POSEBNE NAMENE - DONACIJE I DOTACIJE OSTALIM NIVOIMA VLASTI </t>
  </si>
  <si>
    <t>(klasa 3 izvor finansiranja 07)</t>
  </si>
  <si>
    <t>PRENETA NEUTROŠENA SREDSTVA POSEBNE NAMENE - PRIMANJA OD DOMAĆIH ZADUŽIVANJA</t>
  </si>
  <si>
    <t>(klasa 3 izvor finansiranja 10)</t>
  </si>
  <si>
    <t>NERASPOREĐENI VIŠAK PRIHODA IZ RANIJIH GODINA</t>
  </si>
  <si>
    <t>(klasa 3 izvor finansiranja 13)</t>
  </si>
  <si>
    <t>NEUTROŠENA SREDSTVA OD PRIVATIZACIJE IZ PREDHODNIH GODINA</t>
  </si>
  <si>
    <t xml:space="preserve"> (klasa 3, izvor finansiranja 14)</t>
  </si>
  <si>
    <t>(klasa 3 izvor finansiranja 14)</t>
  </si>
  <si>
    <t>VI. PRIMANJA PO OSNOVU PRODAJE</t>
  </si>
  <si>
    <t>FINANSIJSKE IMOVINE I OTPLATE</t>
  </si>
  <si>
    <t>KREDITA MINUS IZDACI PO OSNOVU</t>
  </si>
  <si>
    <t>92-62</t>
  </si>
  <si>
    <t>DATIH KREDITA I NABAVKE FINANSIJSKE</t>
  </si>
  <si>
    <t>IMOVINE (IV-V)</t>
  </si>
  <si>
    <t>III. BUDŽETSKI SUFICIT</t>
  </si>
  <si>
    <t>(BUDŽETSKI DEFICIT) (I-II)</t>
  </si>
  <si>
    <t>(7+8)-(4+5)</t>
  </si>
  <si>
    <t>PRIMARNI SUFICIT (DEFICIT)</t>
  </si>
  <si>
    <t>(UKUPNI PRIHODI UMANJENI ZA NAPLAĆENE</t>
  </si>
  <si>
    <t>(7-7411+8)-(4-44+5)</t>
  </si>
  <si>
    <t>KAMATE MINUS UKUPNI RASHODI UMANJENI</t>
  </si>
  <si>
    <t>ZA PLAĆENE KAMATE)</t>
  </si>
  <si>
    <t>UKUPNI FISKALNI REZULTAT (III+VI)</t>
  </si>
  <si>
    <t>B. PRIMANJA I IZDACI PO OSNOVU</t>
  </si>
  <si>
    <t>PRODAJE, ODNOSNO NABAVKE</t>
  </si>
  <si>
    <t>FINANSIJSKE IMOVINE I DATIH</t>
  </si>
  <si>
    <t xml:space="preserve">KREDITA  </t>
  </si>
  <si>
    <t>IV. PRIMANJA PO OSNOVU PRODAJE</t>
  </si>
  <si>
    <t xml:space="preserve">DATIH KREDITA  </t>
  </si>
  <si>
    <t>V.IZDACI PO OSNOVU DATIH POZAJMICA I</t>
  </si>
  <si>
    <t>NABAVKE FINANSIJSKE IMOVINE</t>
  </si>
  <si>
    <t>FINANSIJSKE IMOVINE I OPLATE KREDITA</t>
  </si>
  <si>
    <t>MINUS IZDACI PO OSNOVU DATIH KREDITA I</t>
  </si>
  <si>
    <t>V. ZADUŽIVANJE I OTPLATA DUGA</t>
  </si>
  <si>
    <t>VII. PRIMANJA OD ZADUŽIVANJA</t>
  </si>
  <si>
    <t>1. Primanja od domaćih zaduživanja</t>
  </si>
  <si>
    <t xml:space="preserve">    1.1. Zaduživanje kod javnih finansijskih</t>
  </si>
  <si>
    <t>9113+9114</t>
  </si>
  <si>
    <t xml:space="preserve">          institucija i poslovnih banaka</t>
  </si>
  <si>
    <t xml:space="preserve">    1.2. Zaduživanje kod ostalih kreditora</t>
  </si>
  <si>
    <t>9111+9112+9115+</t>
  </si>
  <si>
    <t>9116+9117+9118+9119</t>
  </si>
  <si>
    <t>2. Primanja od inostranog zaduživanja</t>
  </si>
  <si>
    <t>VIII. OTPLATA GLAVNICE</t>
  </si>
  <si>
    <t>1. Otplata glavnice domaćim kreditorima</t>
  </si>
  <si>
    <t xml:space="preserve">    1.1 Otplata glavnice javnim finansijskim</t>
  </si>
  <si>
    <t>6113+6114</t>
  </si>
  <si>
    <t xml:space="preserve">          institucijama i poslovnim bankama</t>
  </si>
  <si>
    <t xml:space="preserve">    1.2. Otplata glavnice ostalim kreditorima</t>
  </si>
  <si>
    <t>6111+6112+6115+</t>
  </si>
  <si>
    <t>6116+6117+6118+6119</t>
  </si>
  <si>
    <t>2. Otplata glavnice stranim kreditorima</t>
  </si>
  <si>
    <t>IX. PROMENA STANJA NA RAČUNU (III+VI+VII-VIII)</t>
  </si>
  <si>
    <t>X. NETO FINANSIRANJE (VI+VII-VIII-IX = - III)</t>
  </si>
  <si>
    <t xml:space="preserve"> </t>
  </si>
  <si>
    <t>07</t>
  </si>
  <si>
    <t>5. Primanja od prodaje nefinansijske imovine</t>
  </si>
  <si>
    <t>Бужет</t>
  </si>
  <si>
    <t>Средства из</t>
  </si>
  <si>
    <t xml:space="preserve">Укупна </t>
  </si>
  <si>
    <t>Број</t>
  </si>
  <si>
    <t>Раздео</t>
  </si>
  <si>
    <t>О п и с</t>
  </si>
  <si>
    <t>сопств.извора</t>
  </si>
  <si>
    <t>осталих извора</t>
  </si>
  <si>
    <t>кредита</t>
  </si>
  <si>
    <t>средства</t>
  </si>
  <si>
    <t>позиц.</t>
  </si>
  <si>
    <t>СКУПШТИНА ОПШТИНЕ И РАДНА ТЕЛА</t>
  </si>
  <si>
    <t>ПРЕДСЕДНИК ОПШТИНЕ И ОПШТИНСКО ВЕЋЕ И  РАДНА ТЕЛА</t>
  </si>
  <si>
    <t>ОПШТИНСКО ЈАВНО ПРАВОБРАНИЛАШТВО</t>
  </si>
  <si>
    <t>ОПШТИНСКА УПРАВА</t>
  </si>
  <si>
    <t>Укупно раздео 1+2+3:</t>
  </si>
  <si>
    <t>6</t>
  </si>
  <si>
    <t xml:space="preserve">Kamate na sredstva budžeta opština </t>
  </si>
  <si>
    <t>Komunalna taksa za zauzeće javne povr.građ.mater.</t>
  </si>
  <si>
    <t>IZVEŠTAJ O OSTVARENJU PRIHODA I IZVRŠENJU RASHODA OPŠTINE VRNJAČKA BANJA ZA  PERIOD OD 01.01.2013. DO 31.10.2013.GOD.</t>
  </si>
  <si>
    <t>PRIHODI I PRIMANJA</t>
  </si>
  <si>
    <t>Tekuća budžetska rezerva</t>
  </si>
  <si>
    <t>Socijalni program JP</t>
  </si>
  <si>
    <t>Projektno planiranje</t>
  </si>
  <si>
    <t>CSR - pomoći</t>
  </si>
  <si>
    <t>Finansijska pomoć porodici</t>
  </si>
  <si>
    <t xml:space="preserve">Osnovno obrazovanje </t>
  </si>
  <si>
    <t>Direkcija - 413 u 415</t>
  </si>
  <si>
    <t>Izgradnja puteva</t>
  </si>
  <si>
    <t>Sport</t>
  </si>
  <si>
    <t>Udruženja</t>
  </si>
  <si>
    <t>KUD</t>
  </si>
  <si>
    <t>Novi Autoprevoz</t>
  </si>
  <si>
    <t>Vrući izvori</t>
  </si>
  <si>
    <t>Pripravnici</t>
  </si>
  <si>
    <t>Projekti</t>
  </si>
  <si>
    <t>Treće dete</t>
  </si>
  <si>
    <t>Izgradnja javne rasvete</t>
  </si>
  <si>
    <t>JP Borjak</t>
  </si>
  <si>
    <t>Socijalni projekti</t>
  </si>
  <si>
    <t>Inspekcijski poslovi</t>
  </si>
  <si>
    <t>Ukupno:</t>
  </si>
  <si>
    <t>12.12.2013.g.</t>
  </si>
  <si>
    <t>Promene budžeta za 2014.g. sa sastanka</t>
  </si>
  <si>
    <t>Iznos</t>
  </si>
  <si>
    <t>SC 421 Stalni troškovi</t>
  </si>
  <si>
    <t>SC 423 Usluge po ugovoru</t>
  </si>
  <si>
    <t>SC 424 Specijaliz.usluge</t>
  </si>
  <si>
    <t>Direkcija - 426 Materijal</t>
  </si>
  <si>
    <t>KC - 423 Usluge po ugovoru</t>
  </si>
  <si>
    <t>KC - 424 Specijaliz.usluge</t>
  </si>
  <si>
    <t>Vrtić - 512 Oprema</t>
  </si>
  <si>
    <t>TO - 424</t>
  </si>
  <si>
    <t>TO - 414</t>
  </si>
  <si>
    <t>TO - 416</t>
  </si>
  <si>
    <t>Informisanje</t>
  </si>
  <si>
    <t>Održavanje javne rasvete</t>
  </si>
  <si>
    <t>SO reprezentacija</t>
  </si>
  <si>
    <t>050</t>
  </si>
  <si>
    <t>4.13.1.</t>
  </si>
  <si>
    <t>4.14.1</t>
  </si>
  <si>
    <t>4.14.2.</t>
  </si>
  <si>
    <t>4.14.3.</t>
  </si>
  <si>
    <t>4.14.4.</t>
  </si>
  <si>
    <t>4.14.5.</t>
  </si>
  <si>
    <t>4.14.6.</t>
  </si>
  <si>
    <t>4.14.7.</t>
  </si>
  <si>
    <t>Nagrade za obrazovanje</t>
  </si>
  <si>
    <t>Fond za podsticanje zapošljavanja</t>
  </si>
  <si>
    <t>4.21.</t>
  </si>
  <si>
    <t>4.21.1.</t>
  </si>
  <si>
    <t>4.21.2.</t>
  </si>
  <si>
    <t>4.21.3.</t>
  </si>
  <si>
    <t>4.21.4.</t>
  </si>
  <si>
    <t>4.21.5.</t>
  </si>
  <si>
    <t>4.21.6.</t>
  </si>
  <si>
    <t>4.21.7.</t>
  </si>
  <si>
    <t>4.21.8.</t>
  </si>
  <si>
    <t>4.21.9.</t>
  </si>
  <si>
    <t>4.21.10.</t>
  </si>
  <si>
    <t>4.21.11.</t>
  </si>
  <si>
    <t>2.3.</t>
  </si>
  <si>
    <t>(iz koga su isključeni:</t>
  </si>
  <si>
    <t>15</t>
  </si>
  <si>
    <t>4.2.7.</t>
  </si>
  <si>
    <t>Tekuća</t>
  </si>
  <si>
    <t>budž.</t>
  </si>
  <si>
    <t>rezerva</t>
  </si>
  <si>
    <t>Promena</t>
  </si>
  <si>
    <t>aproprijacije</t>
  </si>
  <si>
    <t>5/4</t>
  </si>
  <si>
    <t>02</t>
  </si>
  <si>
    <t>SALDO</t>
  </si>
  <si>
    <t>Ek.klas.</t>
  </si>
  <si>
    <t>Obaveze</t>
  </si>
  <si>
    <t>4.3.2.</t>
  </si>
  <si>
    <t>4.3.6.</t>
  </si>
  <si>
    <t>4.3.7.</t>
  </si>
  <si>
    <t>82/1</t>
  </si>
  <si>
    <t>IZVEŠTAJ O OSTVARENJU PRIHODA I IZVRŠENJU RASHODA OPŠTINE VRNJAČKA BANJA ZA  PERIOD OD 01.01.2014. DO 09.06.2014.GOD.</t>
  </si>
  <si>
    <t>4.2.11.</t>
  </si>
  <si>
    <t>74/1</t>
  </si>
  <si>
    <t>4.2.12.</t>
  </si>
  <si>
    <t>74/2</t>
  </si>
  <si>
    <t>4.2.13.</t>
  </si>
  <si>
    <t>74/3</t>
  </si>
  <si>
    <t>80/1</t>
  </si>
  <si>
    <t>211/1</t>
  </si>
  <si>
    <t>213/1</t>
  </si>
  <si>
    <t>219/1</t>
  </si>
  <si>
    <t>235/1</t>
  </si>
  <si>
    <t>240/1</t>
  </si>
  <si>
    <t>106/1</t>
  </si>
  <si>
    <t>106/2</t>
  </si>
  <si>
    <t>30.06.2014.g.</t>
  </si>
  <si>
    <t>08</t>
  </si>
  <si>
    <t>Primanja od prodaje nepokretnosti</t>
  </si>
  <si>
    <t>(8+9+10+11)</t>
  </si>
  <si>
    <t>2.2. Izdaci za nabavku nefinansijske imovine (62)</t>
  </si>
  <si>
    <t>ОПИС</t>
  </si>
  <si>
    <t>Извор</t>
  </si>
  <si>
    <t xml:space="preserve">Извештај о извршењу буџета </t>
  </si>
  <si>
    <t>финансирања</t>
  </si>
  <si>
    <t>Износ</t>
  </si>
  <si>
    <t>Пренети вишак из ранијих година</t>
  </si>
  <si>
    <t xml:space="preserve">Текући суфицит </t>
  </si>
  <si>
    <t>Утрошена средства текућих прихода и примања од продаје нефинансијске имовине за отплату обавеза по кредитима</t>
  </si>
  <si>
    <t>Кредитно задужење (iz ranijih godina)</t>
  </si>
  <si>
    <t xml:space="preserve">Suficit </t>
  </si>
  <si>
    <t>Ред.</t>
  </si>
  <si>
    <t>бр.</t>
  </si>
  <si>
    <t>Укупни текући приходи</t>
  </si>
  <si>
    <t>Укупни текући расходи</t>
  </si>
  <si>
    <t>Прелазни финансијски резултат 1 - суфицит (1-2)</t>
  </si>
  <si>
    <t>Коришћење кредитних средстава</t>
  </si>
  <si>
    <t>Коорићена наменска средства из предходне године</t>
  </si>
  <si>
    <t>Отплата главнице кредита</t>
  </si>
  <si>
    <t>Коначни финансијски резултат-дефицит (7+8)</t>
  </si>
  <si>
    <t>Прелазни финансијски резултат 2 - суфицит (3-4)</t>
  </si>
  <si>
    <t>Финансијски резултат 3 - суфицит (5-6)</t>
  </si>
  <si>
    <t>29/1</t>
  </si>
  <si>
    <t>15/1</t>
  </si>
  <si>
    <t>15/2</t>
  </si>
  <si>
    <t>13</t>
  </si>
  <si>
    <t>4.8./1</t>
  </si>
  <si>
    <t>91/1</t>
  </si>
  <si>
    <t>213/2</t>
  </si>
  <si>
    <t>100/7</t>
  </si>
  <si>
    <t>201/1</t>
  </si>
  <si>
    <t>208/1</t>
  </si>
  <si>
    <t>219/2</t>
  </si>
  <si>
    <t>223/2</t>
  </si>
  <si>
    <t>239/1</t>
  </si>
  <si>
    <t>3. Promena stanja na računu (budž.s/d + 1 - 2)</t>
  </si>
  <si>
    <t>194/1</t>
  </si>
  <si>
    <t>12/1</t>
  </si>
  <si>
    <t>28/1</t>
  </si>
  <si>
    <t>46/1</t>
  </si>
  <si>
    <t>60/1</t>
  </si>
  <si>
    <t>106/3</t>
  </si>
  <si>
    <t>119/1</t>
  </si>
  <si>
    <t>134/1</t>
  </si>
  <si>
    <t>148/1</t>
  </si>
  <si>
    <t>175/1</t>
  </si>
  <si>
    <t>188/1</t>
  </si>
  <si>
    <t>465</t>
  </si>
  <si>
    <t>162/1</t>
  </si>
  <si>
    <t>13/8</t>
  </si>
  <si>
    <t>УКУПНИ ПРИХОДИ И ПРИМАЊА:</t>
  </si>
  <si>
    <t>ИЗВЕШТАЈ О ОСТВАРЕЊУ ПРИХОДА И ИЗВРШЕЊУ РАСХОДА ОПШТИНЕ ВРЊАЧКА БАЊА ЗА  ПЕРИОД ОД 01.01.2014. ДО 31.12.2014.ГОД.</t>
  </si>
  <si>
    <t>31.12.2014.г.</t>
  </si>
  <si>
    <t>Прилог 1</t>
  </si>
  <si>
    <t>Порез на зараде</t>
  </si>
  <si>
    <t>Ек.клас.</t>
  </si>
  <si>
    <t>Самодоприноси</t>
  </si>
  <si>
    <t>Порез на наслеђе и поклон</t>
  </si>
  <si>
    <t>Остварење</t>
  </si>
  <si>
    <t xml:space="preserve">Конто </t>
  </si>
  <si>
    <t xml:space="preserve">Порези на моторна возила </t>
  </si>
  <si>
    <t>Примања од продаје непокретности</t>
  </si>
  <si>
    <t>Буџет</t>
  </si>
  <si>
    <t>Укупно 711:</t>
  </si>
  <si>
    <t>Укупно 721:</t>
  </si>
  <si>
    <t>Порез на имовину</t>
  </si>
  <si>
    <t>Укупно 713:</t>
  </si>
  <si>
    <t>Порези на добра и услуге</t>
  </si>
  <si>
    <t>Укупно 714:</t>
  </si>
  <si>
    <t>Други порези</t>
  </si>
  <si>
    <t>Укупно 716:</t>
  </si>
  <si>
    <t>Укупно 732:</t>
  </si>
  <si>
    <t>Укупно 730:</t>
  </si>
  <si>
    <t>Комунална такса за заузеће јавне повр.грађ.матер.</t>
  </si>
  <si>
    <t>Укупно 741:</t>
  </si>
  <si>
    <t>Укупно 742:</t>
  </si>
  <si>
    <t>као и  одузета имовинска корист у том поступку</t>
  </si>
  <si>
    <t>Укупно 743:</t>
  </si>
  <si>
    <t>Укупно 744:</t>
  </si>
  <si>
    <t>Укупно 745:</t>
  </si>
  <si>
    <t>Укупно 811:</t>
  </si>
  <si>
    <t>Укупно 921:</t>
  </si>
  <si>
    <t>Укупно 911:</t>
  </si>
  <si>
    <t>Порез на фонд зарада</t>
  </si>
  <si>
    <t>Комунална такса на фирму</t>
  </si>
  <si>
    <t>Ненаменски трансфери од Реп.у корист нивоа опс.</t>
  </si>
  <si>
    <t xml:space="preserve">Текући наменски трансфер у ужем смислу од Републике </t>
  </si>
  <si>
    <t xml:space="preserve">    Врста прихода</t>
  </si>
  <si>
    <t>Порез на доходак, добит и капиталне добитке</t>
  </si>
  <si>
    <t>Порез на приходе од самосталне делатности</t>
  </si>
  <si>
    <t>Порез на приходе од имовине</t>
  </si>
  <si>
    <t>Порез на друге приходе</t>
  </si>
  <si>
    <t>Приходи од имовине</t>
  </si>
  <si>
    <t>Приходи од продаје добара и услуга</t>
  </si>
  <si>
    <t>Приходи од давања у закуп</t>
  </si>
  <si>
    <t>Приход од отплате кредита датих домаћинствима</t>
  </si>
  <si>
    <t>Примања од задуживања од пословних банака</t>
  </si>
  <si>
    <t>Порез на приходе од осигурања лица</t>
  </si>
  <si>
    <t>Порез на капиталне трансакције</t>
  </si>
  <si>
    <t>Текуће донације од међ.организација</t>
  </si>
  <si>
    <t>Донације и трансфери</t>
  </si>
  <si>
    <t>Сливна водна накнада од прав.лица</t>
  </si>
  <si>
    <t>Приходи од целокупног пореског дуга 5%</t>
  </si>
  <si>
    <t>Новчане казне и одузета имовинска корист</t>
  </si>
  <si>
    <t>Текући и добровољни трансфери од физичких и прав.лица</t>
  </si>
  <si>
    <t>Текући и добровољни трансфери од физичких и правних лица</t>
  </si>
  <si>
    <t xml:space="preserve">Вишак прихода и примања- суфицит </t>
  </si>
  <si>
    <t>Комунална такса за коришћење рекламних паноа</t>
  </si>
  <si>
    <t>Накнада за кориш. добара од општег интер.</t>
  </si>
  <si>
    <t>Боравишна такса</t>
  </si>
  <si>
    <t>Посебна накнада за заштиту и унапређење жив.средине</t>
  </si>
  <si>
    <t>Општинске и градске комуналне таксе</t>
  </si>
  <si>
    <t>Накнада за коришћење општинских путева</t>
  </si>
  <si>
    <t>Други текући трансфери од Репшублике у орист нивоа опстина</t>
  </si>
  <si>
    <t>Текући трансфери градова у корист нивоа општина</t>
  </si>
  <si>
    <t xml:space="preserve">Камате на средства буџета општина </t>
  </si>
  <si>
    <t xml:space="preserve">Комунална такса за коришћење простора на јавним </t>
  </si>
  <si>
    <t>површинама или испред пословних просторија у пословне сврхе,</t>
  </si>
  <si>
    <t xml:space="preserve"> осим ради продаје штампе, књига и других публикација, ...</t>
  </si>
  <si>
    <t>Комунална такса за коришћење прос.за парк.др.мот</t>
  </si>
  <si>
    <t>Накнада за коришћење грађевинског земљишта</t>
  </si>
  <si>
    <t>Накнада за коришћење речних обала и бања</t>
  </si>
  <si>
    <t>Приходи од прод.доб.или усл.или закупа у корист нивоа општина</t>
  </si>
  <si>
    <t>Општинске административне таксе</t>
  </si>
  <si>
    <t>Накнада за уређивање грађевинског земљишта</t>
  </si>
  <si>
    <t>Приходи општинских органа управе</t>
  </si>
  <si>
    <t>Приходи од нов.казни за саобраћајне прекршаје</t>
  </si>
  <si>
    <t>Новчане казне изречене у прекршајном поступку</t>
  </si>
  <si>
    <t xml:space="preserve"> за прекршаје прописане актом скупштине општине, </t>
  </si>
  <si>
    <t>у корист нивоа општина</t>
  </si>
  <si>
    <t>Мешовити и неодређени приходи</t>
  </si>
  <si>
    <t xml:space="preserve">Мешовити и неодређени приходи у корист нивоа општина </t>
  </si>
  <si>
    <t>Примања од продаје непокретности у корист нивоа општина</t>
  </si>
  <si>
    <t>извора 10</t>
  </si>
  <si>
    <t>сопс.извора</t>
  </si>
  <si>
    <t xml:space="preserve">Средства </t>
  </si>
  <si>
    <t>из кредита</t>
  </si>
  <si>
    <t>Врста расхода</t>
  </si>
  <si>
    <t xml:space="preserve"> - Расходи и издаци -</t>
  </si>
  <si>
    <t>Извршење</t>
  </si>
  <si>
    <t>Извршење из</t>
  </si>
  <si>
    <t>Природна имовина</t>
  </si>
  <si>
    <t>Материјал</t>
  </si>
  <si>
    <t>Средства резерве</t>
  </si>
  <si>
    <t>Стална резерва</t>
  </si>
  <si>
    <t>Основна средства</t>
  </si>
  <si>
    <t>Зграде и грађевински објекти</t>
  </si>
  <si>
    <t>Остала основна средства</t>
  </si>
  <si>
    <t>Нематеријална имовина</t>
  </si>
  <si>
    <t>Накнаде у натури</t>
  </si>
  <si>
    <t xml:space="preserve">Енергетске услуге </t>
  </si>
  <si>
    <t>Услуге по уговору</t>
  </si>
  <si>
    <t>Текуће поправке и одржавање</t>
  </si>
  <si>
    <t xml:space="preserve">Порези, обавезне таксе и казне наметнуте </t>
  </si>
  <si>
    <t>Текућа резерва</t>
  </si>
  <si>
    <t>Роба за даљу продају</t>
  </si>
  <si>
    <t>Набавка домаће нефинансијске имовине</t>
  </si>
  <si>
    <t>Текући расходи</t>
  </si>
  <si>
    <t>Расходи за запослене</t>
  </si>
  <si>
    <t>Награде, бонуси и остали посебни расходи</t>
  </si>
  <si>
    <t>СО и њихових радних тела</t>
  </si>
  <si>
    <t>других непредвиђених узрока</t>
  </si>
  <si>
    <t>Плате и додаци заполених</t>
  </si>
  <si>
    <t>Социјални доприноси на терет послодавца</t>
  </si>
  <si>
    <t>Социјална давања запосленима</t>
  </si>
  <si>
    <t>Услуге по уговору - Репрезентација</t>
  </si>
  <si>
    <t>Специјализоване услуге</t>
  </si>
  <si>
    <t>Отплата  главнице домаћим кредиторима</t>
  </si>
  <si>
    <t>Субвенције</t>
  </si>
  <si>
    <t>Донације и трансфери осталим нивоима власти</t>
  </si>
  <si>
    <t>Остале дотације и трансфери</t>
  </si>
  <si>
    <t>Социјална помоћ</t>
  </si>
  <si>
    <t>Остали издаци</t>
  </si>
  <si>
    <t>Дотације невладиним организацијама</t>
  </si>
  <si>
    <t xml:space="preserve">Дотације осталим непрофитним институцијама </t>
  </si>
  <si>
    <t>Издаци за нефинансијску имовину</t>
  </si>
  <si>
    <t xml:space="preserve">Одборнички додатак, и др.нак. за рад ИО, </t>
  </si>
  <si>
    <t>Накнаде трошкова за запослене</t>
  </si>
  <si>
    <t>Коришћење услуга и роба</t>
  </si>
  <si>
    <t>Стални трошкови</t>
  </si>
  <si>
    <t>Трошкови платног промета и банкарских услуга</t>
  </si>
  <si>
    <t>Трошкови путовања</t>
  </si>
  <si>
    <t>Новчане казне и пенали по реш.судова</t>
  </si>
  <si>
    <t>Накнаде штете за повреде или штету насталу услед елементарних или</t>
  </si>
  <si>
    <t>Машине и опрема</t>
  </si>
  <si>
    <t>Земљиште</t>
  </si>
  <si>
    <t>УКУПНИ РАСХОДИ И ИЗДАЦИ:</t>
  </si>
  <si>
    <t>Глава</t>
  </si>
  <si>
    <t>Економска</t>
  </si>
  <si>
    <t>клас.</t>
  </si>
  <si>
    <t>Функц.</t>
  </si>
  <si>
    <t>Обавезе</t>
  </si>
  <si>
    <t>сопст.извора</t>
  </si>
  <si>
    <t xml:space="preserve">ПРЕДСЕДНИК ОПШТИНЕ И ОПШТИНСКО ВЕЋЕ </t>
  </si>
  <si>
    <t>Укупно раздео 1+2+3+4:</t>
  </si>
  <si>
    <t xml:space="preserve">Извор </t>
  </si>
  <si>
    <t>СВЕГА РАЗДЕО 1:</t>
  </si>
  <si>
    <t>СВЕГА РАЗДЕО 2:</t>
  </si>
  <si>
    <t>СВЕГА РАЗДЕО 3:</t>
  </si>
  <si>
    <t>БУЏЕТСКЕ РЕЗЕРВЕ</t>
  </si>
  <si>
    <t>СКУПШТИНА ОПШТИНЕ</t>
  </si>
  <si>
    <t>ПРЕДСЕДНИК ОПШТИНЕ И ОПШТИНСКО ВЕЋЕ</t>
  </si>
  <si>
    <t>Средње образовање</t>
  </si>
  <si>
    <t>Образовање</t>
  </si>
  <si>
    <t>Фонд за развој пољопривреде</t>
  </si>
  <si>
    <t>Пољопривреда</t>
  </si>
  <si>
    <t>ЈП "Бели Извор"</t>
  </si>
  <si>
    <t>Основно образовање</t>
  </si>
  <si>
    <t>Болест и инвалидност</t>
  </si>
  <si>
    <t>Пројектно планирање и набавка имовине</t>
  </si>
  <si>
    <t xml:space="preserve">Пројектно планирање </t>
  </si>
  <si>
    <t>Црвени крст</t>
  </si>
  <si>
    <t>Стамбени развој</t>
  </si>
  <si>
    <t>Зграде и грађевински  објекти</t>
  </si>
  <si>
    <t>Незапосленост</t>
  </si>
  <si>
    <t>Дом здравља "Др Никола Џамић"</t>
  </si>
  <si>
    <t>од једног нивоа власти другом</t>
  </si>
  <si>
    <t>Укупно за раздео 1:</t>
  </si>
  <si>
    <t>Укупно за главу 2.1:</t>
  </si>
  <si>
    <t xml:space="preserve"> Стална и текућа резерва</t>
  </si>
  <si>
    <t xml:space="preserve">Текућа резерва </t>
  </si>
  <si>
    <t>Укупно глава 2.2:</t>
  </si>
  <si>
    <t>Укупно глава 2.3:</t>
  </si>
  <si>
    <t>Укупно за главу 2.2.+2.3.:</t>
  </si>
  <si>
    <t>Укупно за раздео 2:</t>
  </si>
  <si>
    <t>Судови</t>
  </si>
  <si>
    <t xml:space="preserve">Услуге по уговору </t>
  </si>
  <si>
    <t xml:space="preserve">Текуће поправке и одржавање </t>
  </si>
  <si>
    <t>Укупно за раздео 3:</t>
  </si>
  <si>
    <t>Укупно глава 4.1.:</t>
  </si>
  <si>
    <t>Укупно за главу 4.1.:</t>
  </si>
  <si>
    <t>Накнаде из буџета за образовање</t>
  </si>
  <si>
    <t>Помоћ за вантелесну оплодњу</t>
  </si>
  <si>
    <t>Услуге културе</t>
  </si>
  <si>
    <t>Укупно глава 4.2.:</t>
  </si>
  <si>
    <t>Укупно за главу 4.2.:</t>
  </si>
  <si>
    <t>Удружења и савези</t>
  </si>
  <si>
    <t>Укупно глава 4.3.:</t>
  </si>
  <si>
    <t>Укупно за главу 4.3.:</t>
  </si>
  <si>
    <t>Укупно глава 4.4.:</t>
  </si>
  <si>
    <t>Укупно за главу 4.4.:</t>
  </si>
  <si>
    <t>Укупно глава 4.5.:</t>
  </si>
  <si>
    <t>Укупно за главу 4.5.:</t>
  </si>
  <si>
    <t>Укупно глава 4.6.:</t>
  </si>
  <si>
    <t>Укупно за главу 4.6.:</t>
  </si>
  <si>
    <t>Укупно глава 4.7.:</t>
  </si>
  <si>
    <t>Укупно за главу 4.7.:</t>
  </si>
  <si>
    <t>Укупно глава 4.8.:</t>
  </si>
  <si>
    <t>Укупно за главу 4.8.:</t>
  </si>
  <si>
    <t>Укупно глава 4.8./1:</t>
  </si>
  <si>
    <t>Укупно за главу 4.8./1:</t>
  </si>
  <si>
    <t>Укупно глава 4.9.:</t>
  </si>
  <si>
    <t>Укупно за главу 4.9.:</t>
  </si>
  <si>
    <t>Укупно глава 4.10.:</t>
  </si>
  <si>
    <t>Укупно за главу 4.10.:</t>
  </si>
  <si>
    <t>Укупно глава 4.11.:</t>
  </si>
  <si>
    <t>Укупно за главу 4.11.:</t>
  </si>
  <si>
    <t>Укупно глава 4.12.:</t>
  </si>
  <si>
    <t>Укупно за главу 4.12.:</t>
  </si>
  <si>
    <t>Укупно глава 4.13.:</t>
  </si>
  <si>
    <t>Укупно за главу 4.13.:</t>
  </si>
  <si>
    <t>Комуналне услуге</t>
  </si>
  <si>
    <t>Извори финансирања за раздео 1:</t>
  </si>
  <si>
    <t>Извори финансирања за главу 2.1:</t>
  </si>
  <si>
    <t>Извори финансирања за главу 2.2+2.3.:</t>
  </si>
  <si>
    <t>Извори финансирања за раздео 2:</t>
  </si>
  <si>
    <t>Извори финансирања за раздео 3:</t>
  </si>
  <si>
    <t>Извори финансирања за главу 4.1.:</t>
  </si>
  <si>
    <t>Услуге локалног информисања</t>
  </si>
  <si>
    <t>Здравство некласификовано на другом месту</t>
  </si>
  <si>
    <t>Образовање некласификовано на другом месту</t>
  </si>
  <si>
    <t>Извори финансирања за главу 4.2.:</t>
  </si>
  <si>
    <t>Средства за финансирање пројеката</t>
  </si>
  <si>
    <t>Извори финансирања за главу 4.3.:</t>
  </si>
  <si>
    <t>Извори финансирања за главу 4.4.:</t>
  </si>
  <si>
    <t>Извори финансирања за главу 4.5.:</t>
  </si>
  <si>
    <t>Извори финансирања за главу 4.6.:</t>
  </si>
  <si>
    <t>Извори финансирања за главу 4.7.:</t>
  </si>
  <si>
    <t>Извори финансирања за главу 4.8.:</t>
  </si>
  <si>
    <t>Извори финансирања за главу 4.8./1:</t>
  </si>
  <si>
    <t>Извори финансирања за главу 4.9.:</t>
  </si>
  <si>
    <t>Извори финансирања за главу 4.10.:</t>
  </si>
  <si>
    <t>Извори финансирања за главу 4.11.:</t>
  </si>
  <si>
    <t>Извори финансирања за главу 4.12.:</t>
  </si>
  <si>
    <t>Трансфери између корисника на истом нивоу</t>
  </si>
  <si>
    <t>Извори финансирања за главу 4.13.:</t>
  </si>
  <si>
    <t>Приходи из буџета</t>
  </si>
  <si>
    <t>Трансфери од других нивоа власти-мемор.ставке</t>
  </si>
  <si>
    <t>Трансфери од других нивоа власти</t>
  </si>
  <si>
    <t>елементарних непогода или других непред.узрока</t>
  </si>
  <si>
    <t>Примања од домаћих задуживања</t>
  </si>
  <si>
    <t>Историјски архив</t>
  </si>
  <si>
    <t>Отплате домаћих камата</t>
  </si>
  <si>
    <t>Трансфере од других нивоа власти</t>
  </si>
  <si>
    <t>Комунални јавни расходи</t>
  </si>
  <si>
    <t>Плате и додаци запослених</t>
  </si>
  <si>
    <t xml:space="preserve">Социјална давања запосленима </t>
  </si>
  <si>
    <t>Извори финансирања за функцију 111:</t>
  </si>
  <si>
    <t>Укупно за функцију 111</t>
  </si>
  <si>
    <t>Извори финансирања за функцију 160:</t>
  </si>
  <si>
    <t>Укупно за функцију 160:</t>
  </si>
  <si>
    <t>Извори финансирања за функцију 330:</t>
  </si>
  <si>
    <t>Укупно за функцију 330:</t>
  </si>
  <si>
    <t>Извори финансирања за функцију 130:</t>
  </si>
  <si>
    <t>Укупно за функцију 130:</t>
  </si>
  <si>
    <t>Породица и деца</t>
  </si>
  <si>
    <t>Финансијска помоћ у породици</t>
  </si>
  <si>
    <t>Пружање социјалних услуга особама са сметњама у развоју</t>
  </si>
  <si>
    <t>Комунални послови по налогу инспекције</t>
  </si>
  <si>
    <t>Развој заједнице</t>
  </si>
  <si>
    <t>Канцеларија за младе</t>
  </si>
  <si>
    <t>Доприноси за ПИО и здрав.за лица која сам. обављ.умет.или др.делатност у области културе</t>
  </si>
  <si>
    <t>Дотације осталим непрофитним институцијама</t>
  </si>
  <si>
    <t>Извори финансирања за функцију 010:</t>
  </si>
  <si>
    <t>Укупно за функцију 010:</t>
  </si>
  <si>
    <t>Извори финансирања за функцију 040:</t>
  </si>
  <si>
    <t>Укупно за функцију 040:</t>
  </si>
  <si>
    <t>Извори финансирања за функцију 474:</t>
  </si>
  <si>
    <t>Укупно за функцију 474:</t>
  </si>
  <si>
    <t>Извори финансирања за функцију 620:</t>
  </si>
  <si>
    <t>Укупно за функцију 620:</t>
  </si>
  <si>
    <t>Извори финансирања за функцију 640:</t>
  </si>
  <si>
    <t>Укупно за функцију 640:</t>
  </si>
  <si>
    <t>Извори финансирања за функцију 760:</t>
  </si>
  <si>
    <t>Укупно за функцију 760:</t>
  </si>
  <si>
    <t>Извори финансирања за функцију 820:</t>
  </si>
  <si>
    <t>Укупно за функцију 820:</t>
  </si>
  <si>
    <t>Извори финансирања за функцију 830:</t>
  </si>
  <si>
    <t>Укупно за функцију 830:</t>
  </si>
  <si>
    <t>Извори финансирања за функцију 912:</t>
  </si>
  <si>
    <t>Укупно за функцију 912:</t>
  </si>
  <si>
    <t>Извори финансирања за функцију 920:</t>
  </si>
  <si>
    <t>Укупно за функцију 920:</t>
  </si>
  <si>
    <t>Извори финансирања за функцију 900:</t>
  </si>
  <si>
    <t>Укупно за функцију 900:</t>
  </si>
  <si>
    <t>Верске заједнице</t>
  </si>
  <si>
    <t>Верске и остале услуге заједнице</t>
  </si>
  <si>
    <t>Услуге рекреације и спорта</t>
  </si>
  <si>
    <t>Дотације спортским и омлад.организацијама</t>
  </si>
  <si>
    <t>Извори финансирања за функцију 840:</t>
  </si>
  <si>
    <t>Укупно за функцију 840:</t>
  </si>
  <si>
    <t>Извори финансирања за функцију 810:</t>
  </si>
  <si>
    <t>Укупно за функцију 810:</t>
  </si>
  <si>
    <t>Специјализоване услуге (мртвозорство)</t>
  </si>
  <si>
    <t>Стамбена агенција</t>
  </si>
  <si>
    <t>Извори финансирања за функцију 610:</t>
  </si>
  <si>
    <t>Укупно за функцију 610:</t>
  </si>
  <si>
    <t>Трансакције везане за јавни дуг</t>
  </si>
  <si>
    <t>Трансакције јавног дуга</t>
  </si>
  <si>
    <t>Извори финансирања за функцију 170:</t>
  </si>
  <si>
    <t>Укупно за функцију 170:</t>
  </si>
  <si>
    <t>Извори финансирања за функцију 421:</t>
  </si>
  <si>
    <t>Укупно за функцију 421:</t>
  </si>
  <si>
    <t>Извори финансирања за функцију 500:</t>
  </si>
  <si>
    <t>Укупно за функцију 500:</t>
  </si>
  <si>
    <t>Текуће субвенције приватним предузећима</t>
  </si>
  <si>
    <t>Извори финансирања за функцију 050:</t>
  </si>
  <si>
    <t>Укупно за функцију 050:</t>
  </si>
  <si>
    <t>Социјална политика</t>
  </si>
  <si>
    <t xml:space="preserve">Центар за социјални рад </t>
  </si>
  <si>
    <t>Социјална помоћ угрож.станов. некласиф. на др.месту</t>
  </si>
  <si>
    <t>Извори финансирања за функцију 070:</t>
  </si>
  <si>
    <t>Укупно за функцију 070:</t>
  </si>
  <si>
    <t>Извори финансирања за функцију 090:</t>
  </si>
  <si>
    <t>Укупно за функцију 090:</t>
  </si>
  <si>
    <t xml:space="preserve">Одборнички додатак, и др.нак. за рад СО </t>
  </si>
  <si>
    <t>Накнаде члановима комисија</t>
  </si>
  <si>
    <t>Накнаде члановима већа</t>
  </si>
  <si>
    <t>Субвенције ученицима у основ.образов.</t>
  </si>
  <si>
    <t>Субвенције ученицима у сред.образов.</t>
  </si>
  <si>
    <t>Награде за најбоље ученике и студенте-једнократна помоћ</t>
  </si>
  <si>
    <t>Улична расвета</t>
  </si>
  <si>
    <t>Физичка култура</t>
  </si>
  <si>
    <t>Добровољни трансфери од физичких и правних лица</t>
  </si>
  <si>
    <t>Дотације политичким странкама</t>
  </si>
  <si>
    <t xml:space="preserve">Дотације политичким странкама </t>
  </si>
  <si>
    <t xml:space="preserve"> Извршни и законодавни органи</t>
  </si>
  <si>
    <t>Повремена радна тела скупштине- Канцеларија за младе</t>
  </si>
  <si>
    <t>Коришћење роба и услуга</t>
  </si>
  <si>
    <t>Нераспоређени вишак прихода из ранијих година</t>
  </si>
  <si>
    <t>Председник општине и општинско веће</t>
  </si>
  <si>
    <t>Опште јавне услуге некласификоване на другом месту</t>
  </si>
  <si>
    <t>Резерва за подршку децентрал.управ.финанс.пом. Европске уније</t>
  </si>
  <si>
    <t xml:space="preserve">Стални трошкови </t>
  </si>
  <si>
    <t xml:space="preserve">Трошкови путовања </t>
  </si>
  <si>
    <t xml:space="preserve">Машине и опрема </t>
  </si>
  <si>
    <t>Општинска управа</t>
  </si>
  <si>
    <t>Опште услуге</t>
  </si>
  <si>
    <t>Неутрошена средства донација из ранијих година</t>
  </si>
  <si>
    <t>Извршење скупштинских одлука</t>
  </si>
  <si>
    <t>Финанс.трошк.боравка у вртићу трећег детета</t>
  </si>
  <si>
    <t>Накнада за социјалну заштиту из буџета</t>
  </si>
  <si>
    <t>Накнада за социјалну заштиту из буџета (превоз ученика)</t>
  </si>
  <si>
    <t>Накнада за социјалну заштиту из буџета (узина и екскурзија)</t>
  </si>
  <si>
    <t xml:space="preserve">Реализација ЛАП за запошљавање </t>
  </si>
  <si>
    <t>Вишенаменски развојни пројекти</t>
  </si>
  <si>
    <t>Услуге емитовања и штампања</t>
  </si>
  <si>
    <t>Извршење одлука извршних органа</t>
  </si>
  <si>
    <t>Опште јавне услуге некалсификоване на другом месту</t>
  </si>
  <si>
    <t>Културно уметничка друштва</t>
  </si>
  <si>
    <t>Накнаде штете услед елементарних непогода</t>
  </si>
  <si>
    <t>Накнаде штете за повреде или штету насталу услед</t>
  </si>
  <si>
    <t>Извршење законских обавеза из других области</t>
  </si>
  <si>
    <t>Здравствена заштита</t>
  </si>
  <si>
    <t>Годишњи програм заштите, унапређења и кориш.пољопривредног земљишта</t>
  </si>
  <si>
    <t>Фонд за заштиту животне средине</t>
  </si>
  <si>
    <t>Заштита животне средине</t>
  </si>
  <si>
    <t>Фонд за подстицање запошљавања</t>
  </si>
  <si>
    <t>Трансфери основним школама</t>
  </si>
  <si>
    <t>Трансфери средњим школама</t>
  </si>
  <si>
    <t xml:space="preserve">Накнаде за социјалну заштиту из буџета </t>
  </si>
  <si>
    <t>Допунско мат.обезбеђ.у обл.бор.и инвал.заш.</t>
  </si>
  <si>
    <t>Социјал. заштит. некалиф. на др. месту</t>
  </si>
  <si>
    <t>Пројекти у области социјалне заштите</t>
  </si>
  <si>
    <t>Накнаде за социјалну заштиту из буџета -Избеглице ЕУ</t>
  </si>
  <si>
    <t>СВЕГА РАЗДЕО 4:</t>
  </si>
  <si>
    <t>ЈП "Борјак"</t>
  </si>
  <si>
    <t>Зграде и градјевински објекти</t>
  </si>
  <si>
    <t>Изградња зграда и објеката</t>
  </si>
  <si>
    <t xml:space="preserve">Порези обавезне таксе </t>
  </si>
  <si>
    <t>Зимско одржавање путева</t>
  </si>
  <si>
    <t>ЈП Нови Аутопревоз-опремање</t>
  </si>
  <si>
    <t>Укупно глава 4.14.:</t>
  </si>
  <si>
    <t>Укупно за главу 4.14.:</t>
  </si>
  <si>
    <t xml:space="preserve">Накнаде у натури </t>
  </si>
  <si>
    <t>Укупно глава 4.15.:</t>
  </si>
  <si>
    <t>Укупно за главу 4.15.:</t>
  </si>
  <si>
    <t>Укупно глава 4.16.:</t>
  </si>
  <si>
    <t>Укупно за главу 4.16.:</t>
  </si>
  <si>
    <t>Укупно глава 4.17.:</t>
  </si>
  <si>
    <t>Укупно за главу 4.17.:</t>
  </si>
  <si>
    <t>Туризам</t>
  </si>
  <si>
    <t>Укупно глава 4.18.:</t>
  </si>
  <si>
    <t>Укупно за главу 4.18.:</t>
  </si>
  <si>
    <t>Укупно глава 4.19.:</t>
  </si>
  <si>
    <t>Укупно за главу 4.19.:</t>
  </si>
  <si>
    <t>Комунални послови</t>
  </si>
  <si>
    <t>Укупно 4.20.1.:</t>
  </si>
  <si>
    <t>Укупно 4.20.2.:</t>
  </si>
  <si>
    <t>Укупно 4.20.3.:</t>
  </si>
  <si>
    <t>Укупно 4.20.:</t>
  </si>
  <si>
    <t>Укупно за главу 4.20.1.:</t>
  </si>
  <si>
    <t>Укупно за главу 4.20.2.:</t>
  </si>
  <si>
    <t>Укупно за главу 4.20.3.:</t>
  </si>
  <si>
    <t>Укупно за главу 4.20.:</t>
  </si>
  <si>
    <t>Месна самоуправа</t>
  </si>
  <si>
    <t>Укупно 4.21.1:</t>
  </si>
  <si>
    <t>Укупно за главу 4.21.1.:</t>
  </si>
  <si>
    <t>Порези, обавезне таксе и казне наметнуте од једног</t>
  </si>
  <si>
    <t>Укупно 4.21.2:</t>
  </si>
  <si>
    <t>Укупно за главу 4.21.2.:</t>
  </si>
  <si>
    <t>Порези, обавезне таксе и казне наметнуте од једног нивоа власти другом</t>
  </si>
  <si>
    <t>Укупно 4.21.3:</t>
  </si>
  <si>
    <t>Укупно за главу 4.21.3.:</t>
  </si>
  <si>
    <t>Укупно 4.21.4:</t>
  </si>
  <si>
    <t>Укупно за главу 4.20.4.:</t>
  </si>
  <si>
    <t>Укупно 4.21.5:</t>
  </si>
  <si>
    <t>Укупно за главу 4.21.5.:</t>
  </si>
  <si>
    <t>Укупно 4.21.6:</t>
  </si>
  <si>
    <t>Укупно за главу 4.21.6.:</t>
  </si>
  <si>
    <t>Укупно 4.21.7:</t>
  </si>
  <si>
    <t>Укупно за главу 4.21.7.:</t>
  </si>
  <si>
    <t>Укупно 4.21.8:</t>
  </si>
  <si>
    <t>Укупно за главу 4.21.8.:</t>
  </si>
  <si>
    <t>Укупно 4.21.9:</t>
  </si>
  <si>
    <t>Укупно за главу 4.21.9.:</t>
  </si>
  <si>
    <t>Укупно за главу 4.21.10.:</t>
  </si>
  <si>
    <t>Укупно 4.21.11:</t>
  </si>
  <si>
    <t>Укупно за главу 4.21.11.:</t>
  </si>
  <si>
    <t>Укупно 4.21.:</t>
  </si>
  <si>
    <t>Укупно за главу 4.21.:</t>
  </si>
  <si>
    <t>Набавке домаће финансијске имовине</t>
  </si>
  <si>
    <t>Извори финансирања за главу 4.14.:</t>
  </si>
  <si>
    <t>Извори финансирања за главу 4.15.:</t>
  </si>
  <si>
    <t>Извори финансирања за главу 4.16.:</t>
  </si>
  <si>
    <t>Извори финансирања за главу 4.17.:</t>
  </si>
  <si>
    <t>Извори финансирања за главу 4.18.:</t>
  </si>
  <si>
    <t>Извори финансирања за главу 4.19.:</t>
  </si>
  <si>
    <t>Извори финансирања за главу 4.20.1.:</t>
  </si>
  <si>
    <t>Извори финансирања за главу 4.20.2.:</t>
  </si>
  <si>
    <t>Извори финансирања за главу 4.20.3.:</t>
  </si>
  <si>
    <t>Извори финансирања за главу 4.20.:</t>
  </si>
  <si>
    <t>Извори финансирања за главу 4.21.1.:</t>
  </si>
  <si>
    <t>Извори финансирања за главу 4.21.2.:</t>
  </si>
  <si>
    <t>Извори финансирања за главу 4.21.3.:</t>
  </si>
  <si>
    <t>Извори финансирања за главу 4.20.4.:</t>
  </si>
  <si>
    <t>Извори финансирања за главу 4.21.5.:</t>
  </si>
  <si>
    <t>Извори финансирања за главу 4.21.6.:</t>
  </si>
  <si>
    <t>Извори финансирања за главу 4.21.7.:</t>
  </si>
  <si>
    <t>Извори финансирања за главу 4.21.8.:</t>
  </si>
  <si>
    <t>Извори финансирања за главу 4.21.9.:</t>
  </si>
  <si>
    <t>Извори финансирања за главу 4.21.10.:</t>
  </si>
  <si>
    <t>Извори финансирања за главу 4.21.11.:</t>
  </si>
  <si>
    <t>Сопствени приходи</t>
  </si>
  <si>
    <t>Текући расходи (по Зак.о без.саоб.)</t>
  </si>
  <si>
    <t>Одржавање атмосферске канализације</t>
  </si>
  <si>
    <t>Социјални програм у јавним предузећима</t>
  </si>
  <si>
    <t>Субвенције јавним нефинансијским институцијама</t>
  </si>
  <si>
    <t>Капиталне субвенције - ЈД Врући извори</t>
  </si>
  <si>
    <t xml:space="preserve">Капиталне субвенције јавним нефинанс.организ. </t>
  </si>
  <si>
    <t>Установа Културни центар</t>
  </si>
  <si>
    <t>Остале донације и трансфери</t>
  </si>
  <si>
    <t>Извори финансирања за функцију 911:</t>
  </si>
  <si>
    <t>Укупно за функцију 911:</t>
  </si>
  <si>
    <t>Извори финансирања за функцију 473:</t>
  </si>
  <si>
    <t>Укупно за функцију 473:</t>
  </si>
  <si>
    <t>Установа Спортски центар</t>
  </si>
  <si>
    <t>ЈП "Дирекција за планирање и изградњу"</t>
  </si>
  <si>
    <t>Посл.одрж и инвестиц. у комун.делатности - јавна расвета</t>
  </si>
  <si>
    <t>Посл.одрж и инвестиц. у комун.делатности - путеви</t>
  </si>
  <si>
    <t>Издаци за нефинансијску имовину (по Зак.о без.саоб.)</t>
  </si>
  <si>
    <t xml:space="preserve">Месна заједница Ново село </t>
  </si>
  <si>
    <t>Донације спортским и омладинским организацијама</t>
  </si>
  <si>
    <t>Месна заједница Врњци</t>
  </si>
  <si>
    <t>Месна заједница Руђинци</t>
  </si>
  <si>
    <t>Донације и трансфери од осталих нивоа власти</t>
  </si>
  <si>
    <t>Месна заједница Подунавци</t>
  </si>
  <si>
    <t>Месна заједница Штулац</t>
  </si>
  <si>
    <t>Месна заједница Рсовци</t>
  </si>
  <si>
    <t>Установа Туристичка организација</t>
  </si>
  <si>
    <t xml:space="preserve">Месна заједница Врњачка Бања </t>
  </si>
  <si>
    <t>од чега самодопринос</t>
  </si>
  <si>
    <t>Месна заједница Грачац</t>
  </si>
  <si>
    <t>Установа Библиотека "Др. Душан Радић"</t>
  </si>
  <si>
    <t>Предшколска установа "Радост"</t>
  </si>
  <si>
    <t>Предшколско образовање</t>
  </si>
  <si>
    <t xml:space="preserve">Месна заједница Вранеши </t>
  </si>
  <si>
    <t>Месна заједница Вукушица</t>
  </si>
  <si>
    <t>Месна заједница Станишинци</t>
  </si>
  <si>
    <t>Извори финансирања за функцију 010 - Болест и инвалидност:</t>
  </si>
  <si>
    <t>Извори финансирања за функцију 040 - Породица и деца:</t>
  </si>
  <si>
    <t>Извори финансирања за функцију 050 - Незапосленост:</t>
  </si>
  <si>
    <t>Извори финансирања за функцију 070 - Соц.пом.угрож.станов.:</t>
  </si>
  <si>
    <t>Извори финансирања за функцију 170 - Трансакције јавног дуга:</t>
  </si>
  <si>
    <t>Извори финансирања за функцију 330 - Судови:</t>
  </si>
  <si>
    <t>Извори финансирања за функцију 421 - Пољопривреда:</t>
  </si>
  <si>
    <t>Извори финансирања за функцију 473 - Туризам:</t>
  </si>
  <si>
    <t>Извори финансирања за функцију 610 - Стамбени развој:</t>
  </si>
  <si>
    <t>Извори финансирања за функцију 620 - Развој заједнице:</t>
  </si>
  <si>
    <t>Извори финансирања за функцију 760 - Здравство некл.на др.месту:</t>
  </si>
  <si>
    <t>Извори финансирања за функцију 810 - Услуге рекреације и спорта:</t>
  </si>
  <si>
    <t>Извори финансирања за функцију 820 - Услуге културе:</t>
  </si>
  <si>
    <t>Извори финансирања за функцију 840 - Верске и остале услуге зај.:</t>
  </si>
  <si>
    <t>Извори финансирања за функцију 900 - Образовање:</t>
  </si>
  <si>
    <t>Извори финансирања за функцију 912 - Основно образовање:</t>
  </si>
  <si>
    <t>Извори финансирања за функцију 920 - Средње образовање:</t>
  </si>
  <si>
    <t>Извори финансирања за функцију 640 - Улична расвета:</t>
  </si>
  <si>
    <t>Извори финансирања за функцију 090 - Соц.зашт.неклас.на др.месту:</t>
  </si>
  <si>
    <t>Извори финансирања за функцију 111 - Извршни и законодавни орг.:</t>
  </si>
  <si>
    <t>Извори финансирања за функцију 130 - Опште услуге:</t>
  </si>
  <si>
    <t>Извори финансирања за функцију 160 - Општ.јавн.усл.некл.на др.месту:</t>
  </si>
  <si>
    <t>Извори финансирања за функцију 474 - Вишенаменски пројекти:</t>
  </si>
  <si>
    <t>Извори финансирања за функцију 500 - Заштита животне средине:</t>
  </si>
  <si>
    <t>Извори финансирања за функцију 830 - Услуге емитовања и штампања:</t>
  </si>
  <si>
    <t>Извори финансирања за функцију 911 - Предшколско образовање:</t>
  </si>
  <si>
    <t>ОДСЕК ЗА БУЏЕТ, ФИНАНСИЈЕ И ЈАВНЕ НАБАВКЕ</t>
  </si>
  <si>
    <t>СЛУЖБА ЗА БУЏЕТ, ФИНАНСИЈЕ И ЛОКАЛНУ ПОРЕСКУ АДМИНИСТРАЦИЈУ</t>
  </si>
  <si>
    <t>РУКОВОДИЛАЦ ПОСЛОВИМА ТРЕЗОРА</t>
  </si>
  <si>
    <t>ЗАМЕНИК НАЧЕЛНИКА</t>
  </si>
  <si>
    <t>ШЕФ ОДСЕКА</t>
  </si>
  <si>
    <t>ШЕФ СЛУЖБЕ</t>
  </si>
  <si>
    <t>ОПШТИНСКЕ УПРАВЕ</t>
  </si>
  <si>
    <t>Зоран Дунић</t>
  </si>
  <si>
    <t>Гордана Узуновић</t>
  </si>
  <si>
    <t>Ружица Митровић</t>
  </si>
  <si>
    <t>Славиша Пауновић</t>
  </si>
  <si>
    <t>I ОПШТИ ДЕО</t>
  </si>
  <si>
    <t>класиф.</t>
  </si>
  <si>
    <t>финанс.</t>
  </si>
  <si>
    <t>II ПОСЕБАН ДЕО -ОРГАНИЗАЦИОНА КЛАСИФИКАЦИЈА</t>
  </si>
  <si>
    <t>III ПОСЕБАН ДЕО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</si>
</sst>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##"/>
  </numFmts>
  <fonts count="54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MS Sans Serif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6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/>
    </xf>
    <xf numFmtId="181" fontId="3" fillId="0" borderId="16" xfId="0" applyNumberFormat="1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1" fontId="4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3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0" fillId="0" borderId="13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18" xfId="55" applyFont="1" applyBorder="1" applyAlignment="1">
      <alignment horizontal="center"/>
      <protection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0" fillId="0" borderId="22" xfId="55" applyFont="1" applyBorder="1" applyAlignment="1">
      <alignment/>
      <protection/>
    </xf>
    <xf numFmtId="0" fontId="11" fillId="0" borderId="10" xfId="55" applyFont="1" applyBorder="1" applyAlignment="1">
      <alignment/>
      <protection/>
    </xf>
    <xf numFmtId="3" fontId="10" fillId="0" borderId="16" xfId="55" applyNumberFormat="1" applyFont="1" applyBorder="1" applyAlignment="1">
      <alignment/>
      <protection/>
    </xf>
    <xf numFmtId="3" fontId="0" fillId="0" borderId="0" xfId="0" applyNumberFormat="1" applyAlignment="1">
      <alignment/>
    </xf>
    <xf numFmtId="0" fontId="11" fillId="0" borderId="16" xfId="55" applyFont="1" applyBorder="1">
      <alignment/>
      <protection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/>
    </xf>
    <xf numFmtId="0" fontId="10" fillId="0" borderId="20" xfId="55" applyFont="1" applyBorder="1" applyAlignment="1">
      <alignment/>
      <protection/>
    </xf>
    <xf numFmtId="0" fontId="11" fillId="0" borderId="13" xfId="55" applyFont="1" applyBorder="1" applyAlignment="1">
      <alignment/>
      <protection/>
    </xf>
    <xf numFmtId="3" fontId="10" fillId="0" borderId="18" xfId="55" applyNumberFormat="1" applyFont="1" applyBorder="1" applyAlignment="1">
      <alignment/>
      <protection/>
    </xf>
    <xf numFmtId="0" fontId="14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0" fillId="0" borderId="19" xfId="55" applyFont="1" applyBorder="1" applyAlignment="1">
      <alignment/>
      <protection/>
    </xf>
    <xf numFmtId="0" fontId="11" fillId="0" borderId="11" xfId="55" applyFont="1" applyBorder="1" applyAlignment="1">
      <alignment/>
      <protection/>
    </xf>
    <xf numFmtId="3" fontId="10" fillId="0" borderId="17" xfId="55" applyNumberFormat="1" applyFont="1" applyBorder="1" applyAlignment="1">
      <alignment/>
      <protection/>
    </xf>
    <xf numFmtId="3" fontId="13" fillId="0" borderId="16" xfId="0" applyNumberFormat="1" applyFont="1" applyBorder="1" applyAlignment="1">
      <alignment horizontal="right"/>
    </xf>
    <xf numFmtId="0" fontId="10" fillId="0" borderId="22" xfId="55" applyFont="1" applyFill="1" applyBorder="1" applyAlignment="1">
      <alignment/>
      <protection/>
    </xf>
    <xf numFmtId="0" fontId="11" fillId="0" borderId="10" xfId="55" applyFont="1" applyFill="1" applyBorder="1" applyAlignment="1">
      <alignment/>
      <protection/>
    </xf>
    <xf numFmtId="3" fontId="10" fillId="0" borderId="16" xfId="55" applyNumberFormat="1" applyFont="1" applyFill="1" applyBorder="1" applyAlignment="1">
      <alignment/>
      <protection/>
    </xf>
    <xf numFmtId="0" fontId="10" fillId="0" borderId="0" xfId="55" applyFont="1" applyBorder="1" applyAlignment="1">
      <alignment/>
      <protection/>
    </xf>
    <xf numFmtId="0" fontId="11" fillId="0" borderId="0" xfId="55" applyFont="1" applyBorder="1" applyAlignment="1">
      <alignment/>
      <protection/>
    </xf>
    <xf numFmtId="3" fontId="10" fillId="0" borderId="0" xfId="55" applyNumberFormat="1" applyFont="1" applyBorder="1" applyAlignment="1">
      <alignment/>
      <protection/>
    </xf>
    <xf numFmtId="0" fontId="11" fillId="0" borderId="0" xfId="55" applyFont="1" applyBorder="1" applyAlignment="1">
      <alignment/>
      <protection/>
    </xf>
    <xf numFmtId="3" fontId="11" fillId="0" borderId="0" xfId="55" applyNumberFormat="1" applyFont="1" applyBorder="1" applyAlignment="1">
      <alignment/>
      <protection/>
    </xf>
    <xf numFmtId="0" fontId="10" fillId="0" borderId="19" xfId="55" applyFont="1" applyBorder="1" applyAlignment="1">
      <alignment horizontal="center"/>
      <protection/>
    </xf>
    <xf numFmtId="0" fontId="10" fillId="0" borderId="11" xfId="55" applyFont="1" applyBorder="1" applyAlignment="1">
      <alignment/>
      <protection/>
    </xf>
    <xf numFmtId="49" fontId="10" fillId="0" borderId="21" xfId="55" applyNumberFormat="1" applyFont="1" applyBorder="1" applyAlignment="1">
      <alignment horizontal="center"/>
      <protection/>
    </xf>
    <xf numFmtId="0" fontId="10" fillId="0" borderId="0" xfId="55" applyFont="1" applyBorder="1" applyAlignment="1">
      <alignment/>
      <protection/>
    </xf>
    <xf numFmtId="0" fontId="10" fillId="0" borderId="25" xfId="55" applyFont="1" applyBorder="1" applyAlignment="1">
      <alignment horizontal="center"/>
      <protection/>
    </xf>
    <xf numFmtId="0" fontId="13" fillId="0" borderId="16" xfId="0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right"/>
    </xf>
    <xf numFmtId="0" fontId="10" fillId="0" borderId="10" xfId="55" applyFont="1" applyBorder="1" applyAlignment="1">
      <alignment/>
      <protection/>
    </xf>
    <xf numFmtId="3" fontId="10" fillId="0" borderId="16" xfId="55" applyNumberFormat="1" applyFont="1" applyBorder="1" applyAlignment="1">
      <alignment horizontal="right"/>
      <protection/>
    </xf>
    <xf numFmtId="0" fontId="13" fillId="0" borderId="16" xfId="0" applyFont="1" applyFill="1" applyBorder="1" applyAlignment="1">
      <alignment/>
    </xf>
    <xf numFmtId="0" fontId="11" fillId="0" borderId="22" xfId="55" applyFont="1" applyBorder="1" applyAlignment="1">
      <alignment/>
      <protection/>
    </xf>
    <xf numFmtId="3" fontId="11" fillId="0" borderId="16" xfId="55" applyNumberFormat="1" applyFont="1" applyBorder="1" applyAlignment="1">
      <alignment/>
      <protection/>
    </xf>
    <xf numFmtId="0" fontId="11" fillId="0" borderId="21" xfId="55" applyFont="1" applyBorder="1" applyAlignment="1">
      <alignment/>
      <protection/>
    </xf>
    <xf numFmtId="3" fontId="11" fillId="0" borderId="25" xfId="55" applyNumberFormat="1" applyFont="1" applyBorder="1" applyAlignment="1">
      <alignment/>
      <protection/>
    </xf>
    <xf numFmtId="0" fontId="11" fillId="0" borderId="20" xfId="55" applyFont="1" applyBorder="1">
      <alignment/>
      <protection/>
    </xf>
    <xf numFmtId="3" fontId="11" fillId="0" borderId="17" xfId="55" applyNumberFormat="1" applyFont="1" applyBorder="1" applyAlignment="1">
      <alignment/>
      <protection/>
    </xf>
    <xf numFmtId="3" fontId="0" fillId="0" borderId="16" xfId="0" applyNumberFormat="1" applyFill="1" applyBorder="1" applyAlignment="1">
      <alignment/>
    </xf>
    <xf numFmtId="0" fontId="11" fillId="0" borderId="22" xfId="55" applyFont="1" applyBorder="1" applyAlignment="1">
      <alignment/>
      <protection/>
    </xf>
    <xf numFmtId="0" fontId="13" fillId="0" borderId="22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5" fillId="33" borderId="22" xfId="0" applyFont="1" applyFill="1" applyBorder="1" applyAlignment="1">
      <alignment wrapText="1"/>
    </xf>
    <xf numFmtId="0" fontId="11" fillId="33" borderId="16" xfId="0" applyFont="1" applyFill="1" applyBorder="1" applyAlignment="1">
      <alignment/>
    </xf>
    <xf numFmtId="3" fontId="10" fillId="33" borderId="26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17" xfId="0" applyFont="1" applyBorder="1" applyAlignment="1">
      <alignment horizontal="left"/>
    </xf>
    <xf numFmtId="3" fontId="11" fillId="0" borderId="23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6" xfId="0" applyFont="1" applyBorder="1" applyAlignment="1">
      <alignment horizontal="left"/>
    </xf>
    <xf numFmtId="3" fontId="11" fillId="0" borderId="26" xfId="0" applyNumberFormat="1" applyFont="1" applyBorder="1" applyAlignment="1">
      <alignment/>
    </xf>
    <xf numFmtId="0" fontId="11" fillId="0" borderId="25" xfId="0" applyFont="1" applyBorder="1" applyAlignment="1">
      <alignment horizontal="left"/>
    </xf>
    <xf numFmtId="3" fontId="11" fillId="0" borderId="27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wrapText="1"/>
    </xf>
    <xf numFmtId="0" fontId="11" fillId="0" borderId="18" xfId="0" applyFont="1" applyBorder="1" applyAlignment="1">
      <alignment horizontal="left"/>
    </xf>
    <xf numFmtId="3" fontId="11" fillId="0" borderId="24" xfId="0" applyNumberFormat="1" applyFont="1" applyFill="1" applyBorder="1" applyAlignment="1">
      <alignment/>
    </xf>
    <xf numFmtId="0" fontId="11" fillId="0" borderId="22" xfId="0" applyFont="1" applyBorder="1" applyAlignment="1">
      <alignment wrapText="1"/>
    </xf>
    <xf numFmtId="49" fontId="11" fillId="0" borderId="21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1" fillId="0" borderId="22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4" xfId="0" applyFont="1" applyBorder="1" applyAlignment="1">
      <alignment/>
    </xf>
    <xf numFmtId="3" fontId="11" fillId="0" borderId="16" xfId="0" applyNumberFormat="1" applyFont="1" applyFill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3" xfId="0" applyFont="1" applyBorder="1" applyAlignment="1">
      <alignment/>
    </xf>
    <xf numFmtId="0" fontId="11" fillId="33" borderId="19" xfId="0" applyFont="1" applyFill="1" applyBorder="1" applyAlignment="1">
      <alignment wrapText="1"/>
    </xf>
    <xf numFmtId="0" fontId="11" fillId="33" borderId="17" xfId="0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25" xfId="0" applyFont="1" applyFill="1" applyBorder="1" applyAlignment="1">
      <alignment horizontal="left"/>
    </xf>
    <xf numFmtId="0" fontId="11" fillId="33" borderId="27" xfId="0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11" fillId="34" borderId="25" xfId="0" applyFont="1" applyFill="1" applyBorder="1" applyAlignment="1">
      <alignment horizontal="left"/>
    </xf>
    <xf numFmtId="0" fontId="11" fillId="34" borderId="27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5" fillId="0" borderId="21" xfId="0" applyFont="1" applyBorder="1" applyAlignment="1">
      <alignment/>
    </xf>
    <xf numFmtId="3" fontId="10" fillId="0" borderId="27" xfId="0" applyNumberFormat="1" applyFont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10" fillId="33" borderId="19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5" fillId="0" borderId="22" xfId="0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32" xfId="0" applyFont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Border="1" applyAlignment="1">
      <alignment horizontal="right"/>
    </xf>
    <xf numFmtId="3" fontId="6" fillId="35" borderId="0" xfId="0" applyNumberFormat="1" applyFont="1" applyFill="1" applyAlignment="1">
      <alignment/>
    </xf>
    <xf numFmtId="3" fontId="4" fillId="36" borderId="16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0" fontId="13" fillId="0" borderId="33" xfId="0" applyFont="1" applyBorder="1" applyAlignment="1">
      <alignment/>
    </xf>
    <xf numFmtId="3" fontId="13" fillId="0" borderId="33" xfId="0" applyNumberFormat="1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49" fontId="6" fillId="0" borderId="1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180" fontId="6" fillId="0" borderId="3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4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0" fontId="6" fillId="0" borderId="18" xfId="0" applyNumberFormat="1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26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5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 horizontal="left"/>
    </xf>
    <xf numFmtId="180" fontId="6" fillId="0" borderId="34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justify"/>
    </xf>
    <xf numFmtId="0" fontId="4" fillId="0" borderId="16" xfId="0" applyFont="1" applyFill="1" applyBorder="1" applyAlignment="1">
      <alignment vertical="justify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180" fontId="7" fillId="0" borderId="16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0" fontId="11" fillId="0" borderId="20" xfId="55" applyFont="1" applyBorder="1" applyAlignment="1">
      <alignment/>
      <protection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1" fillId="0" borderId="23" xfId="0" applyNumberFormat="1" applyFont="1" applyFill="1" applyBorder="1" applyAlignment="1">
      <alignment/>
    </xf>
    <xf numFmtId="0" fontId="10" fillId="0" borderId="11" xfId="55" applyFont="1" applyBorder="1" applyAlignment="1">
      <alignment horizontal="left"/>
      <protection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37" xfId="0" applyFont="1" applyBorder="1" applyAlignment="1">
      <alignment wrapText="1"/>
    </xf>
    <xf numFmtId="0" fontId="13" fillId="0" borderId="38" xfId="0" applyFont="1" applyBorder="1" applyAlignment="1">
      <alignment horizontal="center"/>
    </xf>
    <xf numFmtId="3" fontId="18" fillId="0" borderId="39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/>
    </xf>
    <xf numFmtId="3" fontId="13" fillId="0" borderId="39" xfId="0" applyNumberFormat="1" applyFont="1" applyBorder="1" applyAlignment="1">
      <alignment horizontal="right"/>
    </xf>
    <xf numFmtId="0" fontId="13" fillId="0" borderId="38" xfId="0" applyFont="1" applyBorder="1" applyAlignment="1">
      <alignment wrapText="1"/>
    </xf>
    <xf numFmtId="0" fontId="0" fillId="0" borderId="39" xfId="0" applyFont="1" applyBorder="1" applyAlignment="1">
      <alignment/>
    </xf>
    <xf numFmtId="3" fontId="0" fillId="0" borderId="39" xfId="0" applyNumberFormat="1" applyFont="1" applyBorder="1" applyAlignment="1">
      <alignment horizontal="right"/>
    </xf>
    <xf numFmtId="0" fontId="13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3" fillId="0" borderId="4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3" xfId="0" applyFont="1" applyBorder="1" applyAlignment="1">
      <alignment wrapText="1"/>
    </xf>
    <xf numFmtId="0" fontId="13" fillId="0" borderId="42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/>
    </xf>
    <xf numFmtId="3" fontId="13" fillId="0" borderId="3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3" fontId="6" fillId="0" borderId="15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3" fillId="0" borderId="25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23" xfId="0" applyFont="1" applyFill="1" applyBorder="1" applyAlignment="1">
      <alignment vertical="justify"/>
    </xf>
    <xf numFmtId="0" fontId="7" fillId="0" borderId="16" xfId="0" applyFont="1" applyFill="1" applyBorder="1" applyAlignment="1">
      <alignment vertical="justify"/>
    </xf>
    <xf numFmtId="0" fontId="6" fillId="0" borderId="16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0" fontId="10" fillId="0" borderId="20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8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11" fillId="0" borderId="23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80" fontId="6" fillId="0" borderId="15" xfId="0" applyNumberFormat="1" applyFont="1" applyFill="1" applyBorder="1" applyAlignment="1">
      <alignment/>
    </xf>
    <xf numFmtId="3" fontId="11" fillId="33" borderId="25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3" fontId="6" fillId="37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180" fontId="6" fillId="0" borderId="23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180" fontId="6" fillId="0" borderId="27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3" fontId="6" fillId="0" borderId="24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etodologij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s%20and%20Settings\Z.Dunic\My%20Documents\Budzet\Budzet%202013\Nac%20Budzeta%20za%202013-7-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LGICA%202008\Budzet%202010\Predlog%20budzeta%20za%202010\Budzet%202010%20Seiz%202-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odol reb 1"/>
      <sheetName val="Metodologija"/>
      <sheetName val="gl knjiga"/>
      <sheetName val="izvor 05"/>
      <sheetName val="IZVOR 10"/>
      <sheetName val="13"/>
      <sheetName val="izvor 07"/>
      <sheetName val="Plate"/>
      <sheetName val="tabelarni pregled"/>
      <sheetName val="Tab prihodi"/>
      <sheetName val="Prihodi odluka"/>
      <sheetName val="Masa za plate"/>
      <sheetName val="Tab rashodi"/>
      <sheetName val="Sastanak"/>
      <sheetName val="Tabelarni deo rashodi"/>
      <sheetName val="Rash pos deo"/>
      <sheetName val="Rash pos deo odluka"/>
      <sheetName val="Rash Opsti deo odluka"/>
      <sheetName val="Deficit"/>
      <sheetName val="Odluka rashodi"/>
      <sheetName val="Škole"/>
      <sheetName val="kREDITI"/>
    </sheetNames>
    <sheetDataSet>
      <sheetData sheetId="12">
        <row r="63">
          <cell r="H63">
            <v>633075000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todologija 2"/>
      <sheetName val="Metodologija 1"/>
      <sheetName val="Tabelarni pregled"/>
      <sheetName val="Prihodi"/>
      <sheetName val="Rashodi odluka"/>
      <sheetName val="Prihodi odluka"/>
      <sheetName val="Prom apr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3.140625" style="0" customWidth="1"/>
    <col min="2" max="2" width="25.7109375" style="0" customWidth="1"/>
    <col min="3" max="3" width="27.140625" style="0" customWidth="1"/>
    <col min="4" max="4" width="11.421875" style="0" bestFit="1" customWidth="1"/>
    <col min="5" max="5" width="33.140625" style="0" customWidth="1"/>
    <col min="6" max="6" width="15.8515625" style="0" customWidth="1"/>
    <col min="7" max="7" width="17.28125" style="0" customWidth="1"/>
  </cols>
  <sheetData>
    <row r="2" spans="1:3" ht="15">
      <c r="A2" s="188" t="s">
        <v>130</v>
      </c>
      <c r="B2" s="189"/>
      <c r="C2" s="189"/>
    </row>
    <row r="3" spans="1:3" ht="15">
      <c r="A3" s="188" t="s">
        <v>131</v>
      </c>
      <c r="B3" s="189"/>
      <c r="C3" s="189"/>
    </row>
    <row r="4" spans="1:3" ht="15">
      <c r="A4" s="188"/>
      <c r="B4" s="189"/>
      <c r="C4" s="189"/>
    </row>
    <row r="5" spans="1:5" ht="15">
      <c r="A5" s="468" t="s">
        <v>132</v>
      </c>
      <c r="B5" s="190"/>
      <c r="C5" s="191" t="s">
        <v>133</v>
      </c>
      <c r="E5" s="192" t="s">
        <v>134</v>
      </c>
    </row>
    <row r="6" spans="1:7" ht="15">
      <c r="A6" s="193"/>
      <c r="B6" s="194"/>
      <c r="C6" s="195" t="s">
        <v>135</v>
      </c>
      <c r="E6" s="196" t="s">
        <v>136</v>
      </c>
      <c r="F6" s="197" t="s">
        <v>137</v>
      </c>
      <c r="G6" s="196" t="s">
        <v>138</v>
      </c>
    </row>
    <row r="7" spans="1:7" ht="15">
      <c r="A7" s="198" t="s">
        <v>139</v>
      </c>
      <c r="B7" s="199"/>
      <c r="C7" s="200">
        <f>+C35</f>
        <v>701537205.4399999</v>
      </c>
      <c r="D7" s="201">
        <f>+C7-C8</f>
        <v>3785920.8899999857</v>
      </c>
      <c r="E7" s="202" t="s">
        <v>140</v>
      </c>
      <c r="F7" s="203">
        <v>311</v>
      </c>
      <c r="G7" s="204">
        <f>+C20</f>
        <v>33807112</v>
      </c>
    </row>
    <row r="8" spans="1:7" ht="15">
      <c r="A8" s="205" t="s">
        <v>141</v>
      </c>
      <c r="B8" s="206"/>
      <c r="C8" s="207">
        <f>+C53</f>
        <v>697751284.55</v>
      </c>
      <c r="E8" s="208"/>
      <c r="F8" s="208"/>
      <c r="G8" s="208"/>
    </row>
    <row r="9" spans="1:7" ht="15">
      <c r="A9" s="198" t="s">
        <v>142</v>
      </c>
      <c r="B9" s="199"/>
      <c r="C9" s="200">
        <f>+C7-C8</f>
        <v>3785920.8899999857</v>
      </c>
      <c r="E9" s="209"/>
      <c r="F9" s="210"/>
      <c r="G9" s="209" t="s">
        <v>143</v>
      </c>
    </row>
    <row r="10" spans="1:7" ht="15">
      <c r="A10" s="211" t="s">
        <v>144</v>
      </c>
      <c r="B10" s="212"/>
      <c r="C10" s="213">
        <v>0</v>
      </c>
      <c r="E10" s="197" t="s">
        <v>145</v>
      </c>
      <c r="F10" s="196">
        <v>51123</v>
      </c>
      <c r="G10" s="214">
        <v>26096189</v>
      </c>
    </row>
    <row r="11" spans="1:7" ht="15">
      <c r="A11" s="198" t="s">
        <v>146</v>
      </c>
      <c r="B11" s="199"/>
      <c r="C11" s="200">
        <f>+C9+C10</f>
        <v>3785920.8899999857</v>
      </c>
      <c r="E11" s="197" t="s">
        <v>147</v>
      </c>
      <c r="F11" s="196">
        <v>4512</v>
      </c>
      <c r="G11" s="214">
        <v>31787002</v>
      </c>
    </row>
    <row r="12" spans="1:7" ht="15">
      <c r="A12" s="215" t="s">
        <v>148</v>
      </c>
      <c r="B12" s="216"/>
      <c r="C12" s="217">
        <f>+C11+C21</f>
        <v>33637742.889999986</v>
      </c>
      <c r="E12" s="197"/>
      <c r="F12" s="196"/>
      <c r="G12" s="214"/>
    </row>
    <row r="13" spans="1:7" ht="15">
      <c r="A13" s="218"/>
      <c r="B13" s="219"/>
      <c r="C13" s="220"/>
      <c r="E13" s="197"/>
      <c r="F13" s="196"/>
      <c r="G13" s="214"/>
    </row>
    <row r="14" spans="1:7" ht="15" customHeight="1">
      <c r="A14" s="221"/>
      <c r="B14" s="219"/>
      <c r="C14" s="222"/>
      <c r="E14" s="197" t="s">
        <v>149</v>
      </c>
      <c r="F14" s="196">
        <v>49912</v>
      </c>
      <c r="G14" s="214">
        <v>57277678</v>
      </c>
    </row>
    <row r="15" spans="1:7" ht="15">
      <c r="A15" s="223" t="s">
        <v>150</v>
      </c>
      <c r="B15" s="224"/>
      <c r="C15" s="191" t="s">
        <v>133</v>
      </c>
      <c r="E15" s="197" t="s">
        <v>151</v>
      </c>
      <c r="F15" s="196" t="s">
        <v>152</v>
      </c>
      <c r="G15" s="214">
        <v>60000000</v>
      </c>
    </row>
    <row r="16" spans="1:7" ht="15">
      <c r="A16" s="225"/>
      <c r="B16" s="226"/>
      <c r="C16" s="227" t="s">
        <v>135</v>
      </c>
      <c r="E16" s="197" t="s">
        <v>153</v>
      </c>
      <c r="F16" s="228">
        <v>499</v>
      </c>
      <c r="G16" s="229">
        <v>5000000</v>
      </c>
    </row>
    <row r="17" spans="1:7" ht="15">
      <c r="A17" s="211" t="s">
        <v>154</v>
      </c>
      <c r="B17" s="230"/>
      <c r="C17" s="231">
        <f>+C18+C19+C20</f>
        <v>59851220.2</v>
      </c>
      <c r="E17" s="232" t="s">
        <v>155</v>
      </c>
      <c r="F17" s="228">
        <v>484</v>
      </c>
      <c r="G17" s="204">
        <v>5537872.41</v>
      </c>
    </row>
    <row r="18" spans="1:7" ht="15">
      <c r="A18" s="233" t="s">
        <v>156</v>
      </c>
      <c r="B18" s="199"/>
      <c r="C18" s="234">
        <f>+C67</f>
        <v>26000000.2</v>
      </c>
      <c r="E18" s="232" t="s">
        <v>157</v>
      </c>
      <c r="F18" s="228">
        <v>472</v>
      </c>
      <c r="G18" s="204">
        <v>2625000</v>
      </c>
    </row>
    <row r="19" spans="1:7" ht="15">
      <c r="A19" s="235" t="s">
        <v>158</v>
      </c>
      <c r="B19" s="219"/>
      <c r="C19" s="236">
        <f>+C65</f>
        <v>44108</v>
      </c>
      <c r="E19" s="232" t="s">
        <v>159</v>
      </c>
      <c r="F19" s="228">
        <v>423</v>
      </c>
      <c r="G19" s="204">
        <v>6000000</v>
      </c>
    </row>
    <row r="20" spans="1:7" ht="15">
      <c r="A20" s="233" t="s">
        <v>160</v>
      </c>
      <c r="B20" s="199"/>
      <c r="C20" s="234">
        <f>+C74+C77+C78+C80</f>
        <v>33807112</v>
      </c>
      <c r="E20" s="232" t="s">
        <v>161</v>
      </c>
      <c r="F20" s="228">
        <v>494</v>
      </c>
      <c r="G20" s="204">
        <v>9620266.1</v>
      </c>
    </row>
    <row r="21" spans="1:7" ht="15">
      <c r="A21" s="237" t="s">
        <v>162</v>
      </c>
      <c r="B21" s="212"/>
      <c r="C21" s="238">
        <f>+C74+C78</f>
        <v>29851822</v>
      </c>
      <c r="E21" s="232" t="s">
        <v>163</v>
      </c>
      <c r="F21" s="228">
        <v>463</v>
      </c>
      <c r="G21" s="239">
        <v>1500000</v>
      </c>
    </row>
    <row r="22" spans="1:7" ht="15">
      <c r="A22" s="205" t="s">
        <v>164</v>
      </c>
      <c r="B22" s="212"/>
      <c r="C22" s="213">
        <f>+C23+C24</f>
        <v>30938137.51</v>
      </c>
      <c r="E22" s="232" t="s">
        <v>165</v>
      </c>
      <c r="F22" s="228">
        <v>472</v>
      </c>
      <c r="G22" s="239">
        <v>1000000</v>
      </c>
    </row>
    <row r="23" spans="1:7" ht="15">
      <c r="A23" s="240" t="s">
        <v>166</v>
      </c>
      <c r="B23" s="199"/>
      <c r="C23" s="234">
        <f>+C71</f>
        <v>29038137.51</v>
      </c>
      <c r="F23" s="241" t="s">
        <v>167</v>
      </c>
      <c r="G23" s="214">
        <f>SUM(G10:G22)</f>
        <v>206444007.51</v>
      </c>
    </row>
    <row r="24" spans="1:7" ht="15">
      <c r="A24" s="464" t="s">
        <v>388</v>
      </c>
      <c r="B24" s="199"/>
      <c r="C24" s="234">
        <f>+C63</f>
        <v>1900000</v>
      </c>
      <c r="F24" s="465"/>
      <c r="G24" s="466"/>
    </row>
    <row r="25" spans="1:7" ht="15">
      <c r="A25" s="205" t="s">
        <v>423</v>
      </c>
      <c r="B25" s="199"/>
      <c r="C25" s="200">
        <f>+C9+C17-C22</f>
        <v>32699003.579999987</v>
      </c>
      <c r="D25" s="201">
        <v>42344568.39</v>
      </c>
      <c r="G25" s="201"/>
    </row>
    <row r="26" spans="1:5" ht="15">
      <c r="A26" s="198" t="s">
        <v>168</v>
      </c>
      <c r="B26" s="199"/>
      <c r="C26" s="200">
        <f>+C17-C22-C25</f>
        <v>-3785920.8899999857</v>
      </c>
      <c r="D26" s="201">
        <f>+C25-D25</f>
        <v>-9645564.810000014</v>
      </c>
      <c r="E26" s="201"/>
    </row>
    <row r="27" spans="1:5" ht="15">
      <c r="A27" s="221"/>
      <c r="B27" s="219"/>
      <c r="C27" s="222"/>
      <c r="E27" s="201"/>
    </row>
    <row r="28" spans="1:7" ht="15">
      <c r="A28" s="211" t="s">
        <v>169</v>
      </c>
      <c r="B28" s="212"/>
      <c r="C28" s="377">
        <f>+'Tabelarni deo rashodi'!I1129</f>
        <v>62287000</v>
      </c>
      <c r="G28" s="201"/>
    </row>
    <row r="29" spans="1:7" ht="15">
      <c r="A29" s="514" t="s">
        <v>170</v>
      </c>
      <c r="B29" s="515"/>
      <c r="C29" s="516"/>
      <c r="G29" s="201"/>
    </row>
    <row r="30" spans="1:7" ht="15">
      <c r="A30" s="243"/>
      <c r="B30" s="244"/>
      <c r="C30" s="245"/>
      <c r="G30" s="201"/>
    </row>
    <row r="31" spans="1:7" ht="15">
      <c r="A31" s="188"/>
      <c r="B31" s="189"/>
      <c r="C31" s="189"/>
      <c r="G31" s="201"/>
    </row>
    <row r="32" spans="1:3" ht="14.25">
      <c r="A32" s="246" t="s">
        <v>171</v>
      </c>
      <c r="B32" s="247" t="s">
        <v>172</v>
      </c>
      <c r="C32" s="247" t="s">
        <v>173</v>
      </c>
    </row>
    <row r="33" spans="1:3" ht="15">
      <c r="A33" s="248"/>
      <c r="B33" s="249" t="s">
        <v>174</v>
      </c>
      <c r="C33" s="250"/>
    </row>
    <row r="34" spans="1:5" ht="14.25">
      <c r="A34" s="251">
        <v>1</v>
      </c>
      <c r="B34" s="252">
        <v>2</v>
      </c>
      <c r="C34" s="253">
        <v>3</v>
      </c>
      <c r="D34" s="201" t="e">
        <f>+C35-'[1]tabelarni pregled'!#REF!</f>
        <v>#REF!</v>
      </c>
      <c r="E34" s="201">
        <f>+C35*0.1</f>
        <v>70153720.544</v>
      </c>
    </row>
    <row r="35" spans="1:5" ht="45">
      <c r="A35" s="254" t="s">
        <v>175</v>
      </c>
      <c r="B35" s="255"/>
      <c r="C35" s="256">
        <f>C36+C52</f>
        <v>701537205.4399999</v>
      </c>
      <c r="D35" s="201">
        <f>+'Tab prihodi'!E82</f>
        <v>701537205.44</v>
      </c>
      <c r="E35" s="201">
        <f>+C35-D35</f>
        <v>0</v>
      </c>
    </row>
    <row r="36" spans="1:3" ht="15">
      <c r="A36" s="257" t="s">
        <v>176</v>
      </c>
      <c r="B36" s="258">
        <v>7</v>
      </c>
      <c r="C36" s="259">
        <f>C37+C43+C51+C50</f>
        <v>660371144.4399999</v>
      </c>
    </row>
    <row r="37" spans="1:6" ht="15">
      <c r="A37" s="260" t="s">
        <v>177</v>
      </c>
      <c r="B37" s="261">
        <v>71</v>
      </c>
      <c r="C37" s="262">
        <f>C38+C39+C40+C41+C42</f>
        <v>413076403.71</v>
      </c>
      <c r="D37">
        <f>+C37*0.15%</f>
        <v>619614.605565</v>
      </c>
      <c r="E37" s="339">
        <v>593000</v>
      </c>
      <c r="F37" s="201">
        <f>+D37-E37</f>
        <v>26614.605564999976</v>
      </c>
    </row>
    <row r="38" spans="1:5" ht="15">
      <c r="A38" s="257" t="s">
        <v>5</v>
      </c>
      <c r="B38" s="263">
        <v>711</v>
      </c>
      <c r="C38" s="264">
        <f>+'Tab prihodi'!E15</f>
        <v>228398901.6</v>
      </c>
      <c r="E38" s="384">
        <v>0.0015</v>
      </c>
    </row>
    <row r="39" spans="1:5" ht="15">
      <c r="A39" s="265" t="s">
        <v>122</v>
      </c>
      <c r="B39" s="263">
        <v>712</v>
      </c>
      <c r="C39" s="264">
        <f>+'Tab prihodi'!E17</f>
        <v>981.2</v>
      </c>
      <c r="E39" s="201">
        <f>+E37/E38</f>
        <v>395333333.3333333</v>
      </c>
    </row>
    <row r="40" spans="1:3" ht="15">
      <c r="A40" s="265" t="s">
        <v>12</v>
      </c>
      <c r="B40" s="263">
        <v>713</v>
      </c>
      <c r="C40" s="264">
        <f>+'Tab prihodi'!E23</f>
        <v>123288053.05</v>
      </c>
    </row>
    <row r="41" spans="1:3" ht="15">
      <c r="A41" s="266" t="s">
        <v>178</v>
      </c>
      <c r="B41" s="263">
        <v>714</v>
      </c>
      <c r="C41" s="264">
        <f>+'Tab prihodi'!E32</f>
        <v>38016187.629999995</v>
      </c>
    </row>
    <row r="42" spans="1:3" ht="30" customHeight="1">
      <c r="A42" s="248" t="s">
        <v>23</v>
      </c>
      <c r="B42" s="267">
        <v>716</v>
      </c>
      <c r="C42" s="268">
        <f>+'Tab prihodi'!E34</f>
        <v>23372280.23</v>
      </c>
    </row>
    <row r="43" spans="1:3" ht="45">
      <c r="A43" s="269" t="s">
        <v>179</v>
      </c>
      <c r="B43" s="261">
        <v>74</v>
      </c>
      <c r="C43" s="262">
        <f>+C44+C46+C47+C48+C49</f>
        <v>125301106.72999999</v>
      </c>
    </row>
    <row r="44" spans="1:3" ht="34.5" customHeight="1">
      <c r="A44" s="270" t="s">
        <v>180</v>
      </c>
      <c r="B44" s="263">
        <v>741</v>
      </c>
      <c r="C44" s="271">
        <f>+'Tab prihodi'!E55</f>
        <v>33243428.84</v>
      </c>
    </row>
    <row r="45" spans="1:3" ht="15">
      <c r="A45" s="270" t="s">
        <v>181</v>
      </c>
      <c r="B45" s="263">
        <v>7411</v>
      </c>
      <c r="C45" s="271">
        <f>+'Tab prihodi'!E46</f>
        <v>3975745.13</v>
      </c>
    </row>
    <row r="46" spans="1:3" ht="15">
      <c r="A46" s="270" t="s">
        <v>182</v>
      </c>
      <c r="B46" s="263">
        <v>742</v>
      </c>
      <c r="C46" s="271">
        <f>+'Tab prihodi'!E62</f>
        <v>82524944.44</v>
      </c>
    </row>
    <row r="47" spans="1:3" ht="15">
      <c r="A47" s="270" t="s">
        <v>183</v>
      </c>
      <c r="B47" s="263">
        <v>743</v>
      </c>
      <c r="C47" s="271">
        <f>+'Tab prihodi'!E69</f>
        <v>5739406.32</v>
      </c>
    </row>
    <row r="48" spans="1:3" ht="15">
      <c r="A48" s="270" t="s">
        <v>184</v>
      </c>
      <c r="B48" s="263">
        <v>744</v>
      </c>
      <c r="C48" s="271">
        <f>+'Tab prihodi'!E73</f>
        <v>1733194.53</v>
      </c>
    </row>
    <row r="49" spans="1:3" ht="15">
      <c r="A49" s="270" t="s">
        <v>185</v>
      </c>
      <c r="B49" s="263">
        <v>745</v>
      </c>
      <c r="C49" s="271">
        <f>+'Tab prihodi'!E76</f>
        <v>2060132.6</v>
      </c>
    </row>
    <row r="50" spans="1:3" ht="15">
      <c r="A50" s="260" t="s">
        <v>186</v>
      </c>
      <c r="B50" s="272" t="s">
        <v>187</v>
      </c>
      <c r="C50" s="262">
        <f>+'Tab prihodi'!E38</f>
        <v>0</v>
      </c>
    </row>
    <row r="51" spans="1:4" ht="15">
      <c r="A51" s="248" t="s">
        <v>188</v>
      </c>
      <c r="B51" s="267">
        <v>733</v>
      </c>
      <c r="C51" s="273">
        <f>+'Tab prihodi'!E44</f>
        <v>121993634</v>
      </c>
      <c r="D51" s="201"/>
    </row>
    <row r="52" spans="1:5" ht="15">
      <c r="A52" s="265" t="s">
        <v>269</v>
      </c>
      <c r="B52" s="263">
        <v>8</v>
      </c>
      <c r="C52" s="271">
        <f>+'Tab prihodi'!E78</f>
        <v>41166061</v>
      </c>
      <c r="D52" s="201">
        <f>+'[1]Tab rashodi'!H63-C53</f>
        <v>-64676284.54999995</v>
      </c>
      <c r="E52" s="201"/>
    </row>
    <row r="53" spans="1:7" ht="45">
      <c r="A53" s="254" t="s">
        <v>189</v>
      </c>
      <c r="B53" s="255"/>
      <c r="C53" s="256">
        <f>C54+C62</f>
        <v>697751284.55</v>
      </c>
      <c r="D53" s="201">
        <f>('Tabelarni deo rashodi'!M58+'Tabelarni deo rashodi'!O58+'Tabelarni deo rashodi'!P58)-C53</f>
        <v>30938137.50999987</v>
      </c>
      <c r="E53" s="201">
        <f>+'Tabelarni deo rashodi'!M32+'Tabelarni deo rashodi'!M57</f>
        <v>30938137.51</v>
      </c>
      <c r="F53" s="201">
        <f>+D53-E53</f>
        <v>-1.30385160446167E-07</v>
      </c>
      <c r="G53" s="201"/>
    </row>
    <row r="54" spans="1:5" ht="52.5" customHeight="1">
      <c r="A54" s="274" t="s">
        <v>190</v>
      </c>
      <c r="B54" s="261">
        <v>4</v>
      </c>
      <c r="C54" s="275">
        <f>C55+C56+C57+C58+C59+C60+C61</f>
        <v>617738989.2099999</v>
      </c>
      <c r="D54" s="201">
        <f>+'Tabelarni deo rashodi'!M58+'Tabelarni deo rashodi'!O58+'Tabelarni deo rashodi'!P58-'Tabelarni deo rashodi'!M32-'Tabelarni deo rashodi'!M57</f>
        <v>697751284.5499998</v>
      </c>
      <c r="E54" s="201">
        <f>+D54-C53</f>
        <v>0</v>
      </c>
    </row>
    <row r="55" spans="1:3" ht="15">
      <c r="A55" s="276" t="s">
        <v>191</v>
      </c>
      <c r="B55" s="258">
        <v>41</v>
      </c>
      <c r="C55" s="467">
        <f>'Tabelarni deo rashodi'!M12+'Tabelarni deo rashodi'!O12</f>
        <v>241723993.01999998</v>
      </c>
    </row>
    <row r="56" spans="1:3" ht="15">
      <c r="A56" s="274" t="s">
        <v>192</v>
      </c>
      <c r="B56" s="261">
        <v>42</v>
      </c>
      <c r="C56" s="467">
        <f>+'Tabelarni deo rashodi'!M21+'Tabelarni deo rashodi'!O21+'Tabelarni deo rashodi'!M11</f>
        <v>223080655.42999998</v>
      </c>
    </row>
    <row r="57" spans="1:3" ht="15">
      <c r="A57" s="277" t="s">
        <v>193</v>
      </c>
      <c r="B57" s="263">
        <v>44</v>
      </c>
      <c r="C57" s="467">
        <f>+'Tabelarni deo rashodi'!M31+'Tabelarni deo rashodi'!O31</f>
        <v>20348410.369999997</v>
      </c>
    </row>
    <row r="58" spans="1:3" ht="15">
      <c r="A58" s="274" t="s">
        <v>194</v>
      </c>
      <c r="B58" s="261">
        <v>45</v>
      </c>
      <c r="C58" s="467">
        <f>+'Tabelarni deo rashodi'!M33</f>
        <v>300000</v>
      </c>
    </row>
    <row r="59" spans="1:3" ht="15">
      <c r="A59" s="277" t="s">
        <v>195</v>
      </c>
      <c r="B59" s="263">
        <v>47</v>
      </c>
      <c r="C59" s="520">
        <f>+'Tabelarni deo rashodi'!M37+'Tabelarni deo rashodi'!O37</f>
        <v>44910370.78999999</v>
      </c>
    </row>
    <row r="60" spans="1:3" ht="15">
      <c r="A60" s="274" t="s">
        <v>196</v>
      </c>
      <c r="B60" s="272" t="s">
        <v>197</v>
      </c>
      <c r="C60" s="467">
        <f>+'Tabelarni deo rashodi'!M38+'Tabelarni deo rashodi'!M45+'Tabelarni deo rashodi'!O38</f>
        <v>28111268.839999996</v>
      </c>
    </row>
    <row r="61" spans="1:3" ht="15">
      <c r="A61" s="277" t="s">
        <v>198</v>
      </c>
      <c r="B61" s="278" t="s">
        <v>199</v>
      </c>
      <c r="C61" s="467">
        <f>+'Tabelarni deo rashodi'!M34+'Tabelarni deo rashodi'!O34</f>
        <v>59264290.760000005</v>
      </c>
    </row>
    <row r="62" spans="1:4" ht="15">
      <c r="A62" s="274" t="s">
        <v>200</v>
      </c>
      <c r="B62" s="261">
        <v>5</v>
      </c>
      <c r="C62" s="467">
        <f>+'Tabelarni deo rashodi'!M48+'Tabelarni deo rashodi'!M49+'Tabelarni deo rashodi'!M55+'Tabelarni deo rashodi'!O49+'Tabelarni deo rashodi'!P48</f>
        <v>80012295.34</v>
      </c>
      <c r="D62" s="201"/>
    </row>
    <row r="63" spans="1:3" ht="15">
      <c r="A63" s="279" t="s">
        <v>201</v>
      </c>
      <c r="B63" s="267">
        <v>62</v>
      </c>
      <c r="C63" s="467">
        <f>+'Tabelarni deo rashodi'!M57</f>
        <v>1900000</v>
      </c>
    </row>
    <row r="64" spans="1:3" ht="45">
      <c r="A64" s="281" t="s">
        <v>202</v>
      </c>
      <c r="B64" s="261"/>
      <c r="C64" s="282"/>
    </row>
    <row r="65" spans="1:3" ht="51" customHeight="1">
      <c r="A65" s="276" t="s">
        <v>203</v>
      </c>
      <c r="B65" s="258">
        <v>92</v>
      </c>
      <c r="C65" s="259">
        <f>+'Tab prihodi'!E85</f>
        <v>44108</v>
      </c>
    </row>
    <row r="66" spans="1:4" ht="15">
      <c r="A66" s="277" t="s">
        <v>204</v>
      </c>
      <c r="B66" s="263">
        <v>91</v>
      </c>
      <c r="C66" s="283"/>
      <c r="D66" s="201">
        <f>+C67-C71</f>
        <v>-3038137.3100000024</v>
      </c>
    </row>
    <row r="67" spans="1:3" ht="15">
      <c r="A67" s="277" t="s">
        <v>205</v>
      </c>
      <c r="B67" s="263">
        <v>911</v>
      </c>
      <c r="C67" s="271">
        <f>+'Tab prihodi'!E88</f>
        <v>26000000.2</v>
      </c>
    </row>
    <row r="68" spans="1:3" ht="15">
      <c r="A68" s="279" t="s">
        <v>206</v>
      </c>
      <c r="B68" s="267">
        <v>912</v>
      </c>
      <c r="C68" s="280"/>
    </row>
    <row r="69" spans="1:3" ht="15">
      <c r="A69" s="274" t="s">
        <v>207</v>
      </c>
      <c r="B69" s="261"/>
      <c r="C69" s="282"/>
    </row>
    <row r="70" spans="1:3" ht="15">
      <c r="A70" s="276" t="s">
        <v>208</v>
      </c>
      <c r="B70" s="258">
        <v>61</v>
      </c>
      <c r="C70" s="284"/>
    </row>
    <row r="71" spans="1:3" ht="15">
      <c r="A71" s="277" t="s">
        <v>209</v>
      </c>
      <c r="B71" s="263">
        <v>611</v>
      </c>
      <c r="C71" s="271">
        <f>+'Tabelarni deo rashodi'!M32</f>
        <v>29038137.51</v>
      </c>
    </row>
    <row r="72" spans="1:3" ht="15">
      <c r="A72" s="277" t="s">
        <v>210</v>
      </c>
      <c r="B72" s="263">
        <v>612</v>
      </c>
      <c r="C72" s="283"/>
    </row>
    <row r="73" spans="1:3" ht="15">
      <c r="A73" s="279" t="s">
        <v>211</v>
      </c>
      <c r="B73" s="267">
        <v>6211</v>
      </c>
      <c r="C73" s="280"/>
    </row>
    <row r="74" spans="1:3" ht="60">
      <c r="A74" s="285" t="s">
        <v>212</v>
      </c>
      <c r="B74" s="286"/>
      <c r="C74" s="287">
        <v>11479799</v>
      </c>
    </row>
    <row r="75" spans="1:3" ht="15">
      <c r="A75" s="288" t="s">
        <v>213</v>
      </c>
      <c r="B75" s="289"/>
      <c r="C75" s="289"/>
    </row>
    <row r="76" spans="1:3" ht="48.75" customHeight="1">
      <c r="A76" s="285" t="s">
        <v>214</v>
      </c>
      <c r="B76" s="286"/>
      <c r="C76" s="287"/>
    </row>
    <row r="77" spans="1:3" ht="15">
      <c r="A77" s="288" t="s">
        <v>215</v>
      </c>
      <c r="B77" s="289"/>
      <c r="C77" s="532">
        <v>3955290</v>
      </c>
    </row>
    <row r="78" spans="1:3" ht="15">
      <c r="A78" s="290" t="s">
        <v>216</v>
      </c>
      <c r="B78" s="290"/>
      <c r="C78" s="287">
        <f>18303223+68800</f>
        <v>18372023</v>
      </c>
    </row>
    <row r="79" spans="1:3" ht="15">
      <c r="A79" s="288" t="s">
        <v>217</v>
      </c>
      <c r="B79" s="288"/>
      <c r="C79" s="324"/>
    </row>
    <row r="80" spans="1:3" ht="45">
      <c r="A80" s="285" t="s">
        <v>218</v>
      </c>
      <c r="B80" s="286"/>
      <c r="C80" s="532">
        <v>0</v>
      </c>
    </row>
    <row r="81" spans="1:3" ht="15">
      <c r="A81" s="288" t="s">
        <v>219</v>
      </c>
      <c r="B81" s="289"/>
      <c r="C81" s="289"/>
    </row>
    <row r="82" spans="1:3" ht="15" hidden="1">
      <c r="A82" s="291" t="s">
        <v>220</v>
      </c>
      <c r="B82" s="292"/>
      <c r="C82" s="293"/>
    </row>
    <row r="83" spans="1:3" ht="15">
      <c r="A83" s="294"/>
      <c r="B83" s="295"/>
      <c r="C83" s="296"/>
    </row>
    <row r="84" spans="1:3" ht="15">
      <c r="A84" s="297" t="s">
        <v>221</v>
      </c>
      <c r="B84" s="298"/>
      <c r="C84" s="284"/>
    </row>
    <row r="85" spans="1:3" ht="15">
      <c r="A85" s="299" t="s">
        <v>222</v>
      </c>
      <c r="B85" s="278"/>
      <c r="C85" s="283"/>
    </row>
    <row r="86" spans="1:3" ht="15">
      <c r="A86" s="299" t="s">
        <v>223</v>
      </c>
      <c r="B86" s="278" t="s">
        <v>224</v>
      </c>
      <c r="C86" s="300">
        <f>+C101-C104</f>
        <v>0</v>
      </c>
    </row>
    <row r="87" spans="1:3" ht="15">
      <c r="A87" s="299" t="s">
        <v>225</v>
      </c>
      <c r="B87" s="278"/>
      <c r="C87" s="283"/>
    </row>
    <row r="88" spans="1:3" ht="15">
      <c r="A88" s="301" t="s">
        <v>226</v>
      </c>
      <c r="B88" s="250"/>
      <c r="C88" s="280"/>
    </row>
    <row r="89" spans="1:4" ht="15">
      <c r="A89" s="297" t="s">
        <v>227</v>
      </c>
      <c r="B89" s="298"/>
      <c r="C89" s="284"/>
      <c r="D89" s="201">
        <f>+C90-C9</f>
        <v>0</v>
      </c>
    </row>
    <row r="90" spans="1:3" ht="15">
      <c r="A90" s="302" t="s">
        <v>228</v>
      </c>
      <c r="B90" s="250" t="s">
        <v>229</v>
      </c>
      <c r="C90" s="303">
        <f>(C36+C52)-(C54+C62)</f>
        <v>3785920.8899999857</v>
      </c>
    </row>
    <row r="91" spans="1:3" ht="15">
      <c r="A91" s="276" t="s">
        <v>230</v>
      </c>
      <c r="B91" s="298"/>
      <c r="C91" s="284"/>
    </row>
    <row r="92" spans="1:3" ht="15">
      <c r="A92" s="277" t="s">
        <v>231</v>
      </c>
      <c r="B92" s="278" t="s">
        <v>232</v>
      </c>
      <c r="C92" s="271">
        <f>+(C36-C45+C52)-(C54-C57+C62)</f>
        <v>20158586.129999995</v>
      </c>
    </row>
    <row r="93" spans="1:3" ht="15">
      <c r="A93" s="277" t="s">
        <v>233</v>
      </c>
      <c r="B93" s="278"/>
      <c r="C93" s="283"/>
    </row>
    <row r="94" spans="1:3" ht="15">
      <c r="A94" s="279" t="s">
        <v>234</v>
      </c>
      <c r="B94" s="250"/>
      <c r="C94" s="280"/>
    </row>
    <row r="95" spans="1:3" ht="15">
      <c r="A95" s="274" t="s">
        <v>235</v>
      </c>
      <c r="B95" s="272"/>
      <c r="C95" s="262">
        <f>+C90+C86</f>
        <v>3785920.8899999857</v>
      </c>
    </row>
    <row r="96" spans="1:3" ht="15">
      <c r="A96" s="304" t="s">
        <v>236</v>
      </c>
      <c r="B96" s="286"/>
      <c r="C96" s="305"/>
    </row>
    <row r="97" spans="1:3" ht="15">
      <c r="A97" s="306" t="s">
        <v>237</v>
      </c>
      <c r="B97" s="307"/>
      <c r="C97" s="293"/>
    </row>
    <row r="98" spans="1:3" ht="15">
      <c r="A98" s="306" t="s">
        <v>238</v>
      </c>
      <c r="B98" s="307"/>
      <c r="C98" s="293"/>
    </row>
    <row r="99" spans="1:3" ht="15">
      <c r="A99" s="308" t="s">
        <v>239</v>
      </c>
      <c r="B99" s="289"/>
      <c r="C99" s="309"/>
    </row>
    <row r="100" spans="1:3" ht="15">
      <c r="A100" s="297" t="s">
        <v>240</v>
      </c>
      <c r="B100" s="258"/>
      <c r="C100" s="284"/>
    </row>
    <row r="101" spans="1:3" ht="15">
      <c r="A101" s="310" t="s">
        <v>222</v>
      </c>
      <c r="B101" s="263">
        <v>92</v>
      </c>
      <c r="C101" s="300">
        <v>0</v>
      </c>
    </row>
    <row r="102" spans="1:3" ht="15">
      <c r="A102" s="311" t="s">
        <v>241</v>
      </c>
      <c r="B102" s="267"/>
      <c r="C102" s="280"/>
    </row>
    <row r="103" spans="1:3" ht="15">
      <c r="A103" s="297" t="s">
        <v>242</v>
      </c>
      <c r="B103" s="258"/>
      <c r="C103" s="284"/>
    </row>
    <row r="104" spans="1:3" ht="15">
      <c r="A104" s="302" t="s">
        <v>243</v>
      </c>
      <c r="B104" s="267">
        <v>62</v>
      </c>
      <c r="C104" s="303"/>
    </row>
    <row r="105" spans="1:3" ht="15">
      <c r="A105" s="312" t="s">
        <v>221</v>
      </c>
      <c r="B105" s="298"/>
      <c r="C105" s="284"/>
    </row>
    <row r="106" spans="1:3" ht="15">
      <c r="A106" s="313" t="s">
        <v>244</v>
      </c>
      <c r="B106" s="278"/>
      <c r="C106" s="283"/>
    </row>
    <row r="107" spans="1:3" ht="15">
      <c r="A107" s="313" t="s">
        <v>245</v>
      </c>
      <c r="B107" s="278" t="s">
        <v>224</v>
      </c>
      <c r="C107" s="300">
        <f>+C101-C104</f>
        <v>0</v>
      </c>
    </row>
    <row r="108" spans="1:3" ht="15">
      <c r="A108" s="301" t="s">
        <v>243</v>
      </c>
      <c r="B108" s="250"/>
      <c r="C108" s="280"/>
    </row>
    <row r="109" spans="1:3" ht="15">
      <c r="A109" s="314" t="s">
        <v>246</v>
      </c>
      <c r="B109" s="255"/>
      <c r="C109" s="315"/>
    </row>
    <row r="110" spans="1:3" ht="15">
      <c r="A110" s="316" t="s">
        <v>247</v>
      </c>
      <c r="B110" s="258">
        <v>91</v>
      </c>
      <c r="C110" s="317">
        <f>+C111</f>
        <v>0</v>
      </c>
    </row>
    <row r="111" spans="1:3" ht="15">
      <c r="A111" s="277" t="s">
        <v>248</v>
      </c>
      <c r="B111" s="261">
        <v>911</v>
      </c>
      <c r="C111" s="262">
        <f>+C112</f>
        <v>0</v>
      </c>
    </row>
    <row r="112" spans="1:3" ht="15">
      <c r="A112" s="276" t="s">
        <v>249</v>
      </c>
      <c r="B112" s="278" t="s">
        <v>250</v>
      </c>
      <c r="C112" s="271"/>
    </row>
    <row r="113" spans="1:3" ht="15">
      <c r="A113" s="248" t="s">
        <v>251</v>
      </c>
      <c r="B113" s="250"/>
      <c r="C113" s="280"/>
    </row>
    <row r="114" spans="1:3" ht="15">
      <c r="A114" s="257" t="s">
        <v>252</v>
      </c>
      <c r="B114" s="298" t="s">
        <v>253</v>
      </c>
      <c r="C114" s="284"/>
    </row>
    <row r="115" spans="1:3" ht="15">
      <c r="A115" s="265"/>
      <c r="B115" s="278" t="s">
        <v>254</v>
      </c>
      <c r="C115" s="283"/>
    </row>
    <row r="116" spans="1:3" ht="15">
      <c r="A116" s="260" t="s">
        <v>255</v>
      </c>
      <c r="B116" s="261">
        <v>912</v>
      </c>
      <c r="C116" s="282"/>
    </row>
    <row r="117" spans="1:3" ht="15">
      <c r="A117" s="316" t="s">
        <v>256</v>
      </c>
      <c r="B117" s="261">
        <v>61</v>
      </c>
      <c r="C117" s="318" t="e">
        <f>+C119</f>
        <v>#REF!</v>
      </c>
    </row>
    <row r="118" spans="1:3" ht="15">
      <c r="A118" s="274" t="s">
        <v>257</v>
      </c>
      <c r="B118" s="258">
        <v>611</v>
      </c>
      <c r="C118" s="284"/>
    </row>
    <row r="119" spans="1:3" ht="15">
      <c r="A119" s="276" t="s">
        <v>258</v>
      </c>
      <c r="B119" s="298" t="s">
        <v>259</v>
      </c>
      <c r="C119" s="259" t="e">
        <f>+'[2]Tabelarni pregled'!Z125</f>
        <v>#REF!</v>
      </c>
    </row>
    <row r="120" spans="1:3" ht="15">
      <c r="A120" s="279" t="s">
        <v>260</v>
      </c>
      <c r="B120" s="250"/>
      <c r="C120" s="280"/>
    </row>
    <row r="121" spans="1:3" ht="15">
      <c r="A121" s="276" t="s">
        <v>261</v>
      </c>
      <c r="B121" s="278" t="s">
        <v>262</v>
      </c>
      <c r="C121" s="283"/>
    </row>
    <row r="122" spans="1:3" ht="15">
      <c r="A122" s="265"/>
      <c r="B122" s="278" t="s">
        <v>263</v>
      </c>
      <c r="C122" s="283"/>
    </row>
    <row r="123" spans="1:3" ht="15">
      <c r="A123" s="248" t="s">
        <v>264</v>
      </c>
      <c r="B123" s="261">
        <v>612</v>
      </c>
      <c r="C123" s="262">
        <v>0</v>
      </c>
    </row>
    <row r="124" spans="1:3" ht="15">
      <c r="A124" s="316" t="s">
        <v>265</v>
      </c>
      <c r="B124" s="272"/>
      <c r="C124" s="318" t="e">
        <f>+C90+C107+C110-C117</f>
        <v>#REF!</v>
      </c>
    </row>
    <row r="125" spans="1:3" ht="15">
      <c r="A125" s="316" t="s">
        <v>266</v>
      </c>
      <c r="B125" s="272"/>
      <c r="C125" s="318" t="e">
        <f>+C107+C110-C117-C124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368" customWidth="1"/>
    <col min="3" max="3" width="24.57421875" style="368" customWidth="1"/>
    <col min="4" max="4" width="17.421875" style="369" customWidth="1"/>
    <col min="5" max="5" width="9.140625" style="369" customWidth="1"/>
    <col min="6" max="16384" width="9.140625" style="368" customWidth="1"/>
  </cols>
  <sheetData>
    <row r="1" ht="15">
      <c r="C1" s="368" t="s">
        <v>313</v>
      </c>
    </row>
    <row r="2" ht="15">
      <c r="C2" s="368" t="s">
        <v>312</v>
      </c>
    </row>
    <row r="5" spans="2:4" ht="15">
      <c r="B5" s="379" t="s">
        <v>1</v>
      </c>
      <c r="C5" s="379" t="s">
        <v>69</v>
      </c>
      <c r="D5" s="381" t="s">
        <v>314</v>
      </c>
    </row>
    <row r="6" spans="2:4" ht="15">
      <c r="B6" s="380" t="s">
        <v>3</v>
      </c>
      <c r="C6" s="376"/>
      <c r="D6" s="378"/>
    </row>
    <row r="7" spans="2:4" ht="15">
      <c r="B7" s="373">
        <v>1</v>
      </c>
      <c r="C7" s="370" t="s">
        <v>291</v>
      </c>
      <c r="D7" s="242">
        <v>8000000</v>
      </c>
    </row>
    <row r="8" spans="2:4" ht="15">
      <c r="B8" s="373">
        <v>2</v>
      </c>
      <c r="C8" s="370" t="s">
        <v>292</v>
      </c>
      <c r="D8" s="242">
        <v>15000000</v>
      </c>
    </row>
    <row r="9" spans="2:4" ht="15">
      <c r="B9" s="373">
        <v>3</v>
      </c>
      <c r="C9" s="370" t="s">
        <v>293</v>
      </c>
      <c r="D9" s="242">
        <v>1500000</v>
      </c>
    </row>
    <row r="10" spans="2:4" ht="15">
      <c r="B10" s="373">
        <v>4</v>
      </c>
      <c r="C10" s="370" t="s">
        <v>294</v>
      </c>
      <c r="D10" s="242">
        <v>1000000</v>
      </c>
    </row>
    <row r="11" spans="2:4" ht="15">
      <c r="B11" s="373">
        <v>5</v>
      </c>
      <c r="C11" s="370" t="s">
        <v>295</v>
      </c>
      <c r="D11" s="242">
        <v>15000000</v>
      </c>
    </row>
    <row r="12" spans="2:4" ht="15">
      <c r="B12" s="373">
        <v>6</v>
      </c>
      <c r="C12" s="370" t="s">
        <v>296</v>
      </c>
      <c r="D12" s="242">
        <v>100000</v>
      </c>
    </row>
    <row r="13" spans="2:4" ht="15">
      <c r="B13" s="373">
        <v>7</v>
      </c>
      <c r="C13" s="370" t="s">
        <v>315</v>
      </c>
      <c r="D13" s="242">
        <v>1150000</v>
      </c>
    </row>
    <row r="14" spans="2:4" ht="15">
      <c r="B14" s="373">
        <v>8</v>
      </c>
      <c r="C14" s="370" t="s">
        <v>316</v>
      </c>
      <c r="D14" s="242">
        <v>200000</v>
      </c>
    </row>
    <row r="15" spans="2:4" ht="15">
      <c r="B15" s="373">
        <v>9</v>
      </c>
      <c r="C15" s="370" t="s">
        <v>317</v>
      </c>
      <c r="D15" s="242">
        <v>200000</v>
      </c>
    </row>
    <row r="16" spans="2:4" ht="15">
      <c r="B16" s="373">
        <v>10</v>
      </c>
      <c r="C16" s="370" t="s">
        <v>297</v>
      </c>
      <c r="D16" s="242">
        <v>0</v>
      </c>
    </row>
    <row r="17" spans="2:4" ht="15">
      <c r="B17" s="373">
        <v>11</v>
      </c>
      <c r="C17" s="370" t="s">
        <v>318</v>
      </c>
      <c r="D17" s="242">
        <f>200000-22000</f>
        <v>178000</v>
      </c>
    </row>
    <row r="18" spans="2:4" ht="15">
      <c r="B18" s="373">
        <v>12</v>
      </c>
      <c r="C18" s="370" t="s">
        <v>319</v>
      </c>
      <c r="D18" s="242">
        <v>400000</v>
      </c>
    </row>
    <row r="19" spans="2:4" ht="15">
      <c r="B19" s="373">
        <v>13</v>
      </c>
      <c r="C19" s="370" t="s">
        <v>320</v>
      </c>
      <c r="D19" s="242">
        <v>400000</v>
      </c>
    </row>
    <row r="20" spans="2:4" ht="15">
      <c r="B20" s="373">
        <v>14</v>
      </c>
      <c r="C20" s="370" t="s">
        <v>298</v>
      </c>
      <c r="D20" s="242">
        <v>20000000</v>
      </c>
    </row>
    <row r="21" spans="2:4" ht="15">
      <c r="B21" s="373">
        <v>15</v>
      </c>
      <c r="C21" s="370" t="s">
        <v>307</v>
      </c>
      <c r="D21" s="242">
        <v>1000000</v>
      </c>
    </row>
    <row r="22" spans="2:4" ht="15">
      <c r="B22" s="373">
        <v>16</v>
      </c>
      <c r="C22" s="370" t="s">
        <v>299</v>
      </c>
      <c r="D22" s="242">
        <v>6000000</v>
      </c>
    </row>
    <row r="23" spans="2:4" ht="15">
      <c r="B23" s="373">
        <v>17</v>
      </c>
      <c r="C23" s="370" t="s">
        <v>300</v>
      </c>
      <c r="D23" s="242">
        <v>2000000</v>
      </c>
    </row>
    <row r="24" spans="2:4" ht="15">
      <c r="B24" s="373">
        <v>18</v>
      </c>
      <c r="C24" s="370" t="s">
        <v>301</v>
      </c>
      <c r="D24" s="242">
        <v>500000</v>
      </c>
    </row>
    <row r="25" spans="2:4" ht="15">
      <c r="B25" s="373">
        <v>19</v>
      </c>
      <c r="C25" s="370" t="s">
        <v>321</v>
      </c>
      <c r="D25" s="242">
        <v>1900000</v>
      </c>
    </row>
    <row r="26" spans="2:4" ht="15">
      <c r="B26" s="373">
        <v>20</v>
      </c>
      <c r="C26" s="370" t="s">
        <v>306</v>
      </c>
      <c r="D26" s="242">
        <v>1000000</v>
      </c>
    </row>
    <row r="27" spans="2:4" ht="15">
      <c r="B27" s="373">
        <v>21</v>
      </c>
      <c r="C27" s="370" t="s">
        <v>302</v>
      </c>
      <c r="D27" s="242">
        <v>2000000</v>
      </c>
    </row>
    <row r="28" spans="2:4" ht="15">
      <c r="B28" s="373">
        <v>22</v>
      </c>
      <c r="C28" s="370" t="s">
        <v>303</v>
      </c>
      <c r="D28" s="242">
        <v>1500000</v>
      </c>
    </row>
    <row r="29" spans="2:4" ht="15">
      <c r="B29" s="373">
        <v>23</v>
      </c>
      <c r="C29" s="370" t="s">
        <v>304</v>
      </c>
      <c r="D29" s="242">
        <v>1500000</v>
      </c>
    </row>
    <row r="30" spans="2:4" ht="15">
      <c r="B30" s="373">
        <v>24</v>
      </c>
      <c r="C30" s="370" t="s">
        <v>81</v>
      </c>
      <c r="D30" s="242">
        <v>1000000</v>
      </c>
    </row>
    <row r="31" spans="2:4" ht="15">
      <c r="B31" s="373">
        <v>25</v>
      </c>
      <c r="C31" s="370" t="s">
        <v>305</v>
      </c>
      <c r="D31" s="242">
        <v>5000000</v>
      </c>
    </row>
    <row r="32" spans="2:4" ht="15">
      <c r="B32" s="373">
        <v>26</v>
      </c>
      <c r="C32" s="370" t="s">
        <v>308</v>
      </c>
      <c r="D32" s="242">
        <v>2000000</v>
      </c>
    </row>
    <row r="33" spans="2:4" ht="15">
      <c r="B33" s="373">
        <v>27</v>
      </c>
      <c r="C33" s="370" t="s">
        <v>309</v>
      </c>
      <c r="D33" s="242">
        <v>2400000</v>
      </c>
    </row>
    <row r="34" spans="2:4" ht="15">
      <c r="B34" s="373">
        <v>28</v>
      </c>
      <c r="C34" s="370" t="s">
        <v>310</v>
      </c>
      <c r="D34" s="242">
        <v>1400000</v>
      </c>
    </row>
    <row r="35" spans="2:4" ht="15.75" thickBot="1">
      <c r="B35" s="374"/>
      <c r="C35" s="371" t="s">
        <v>311</v>
      </c>
      <c r="D35" s="372">
        <f>SUM(D7:D34)</f>
        <v>92328000</v>
      </c>
    </row>
    <row r="36" ht="15.75" thickTop="1"/>
    <row r="38" ht="15">
      <c r="D38" s="1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H1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55.00390625" style="0" customWidth="1"/>
    <col min="4" max="4" width="14.00390625" style="0" customWidth="1"/>
    <col min="8" max="8" width="13.28125" style="0" customWidth="1"/>
  </cols>
  <sheetData>
    <row r="3" ht="13.5" thickBot="1"/>
    <row r="4" spans="1:8" ht="12.75">
      <c r="A4" s="325"/>
      <c r="B4" s="325"/>
      <c r="C4" s="325"/>
      <c r="D4" s="326" t="s">
        <v>270</v>
      </c>
      <c r="E4" s="326" t="s">
        <v>271</v>
      </c>
      <c r="F4" s="326" t="s">
        <v>271</v>
      </c>
      <c r="G4" s="326" t="s">
        <v>271</v>
      </c>
      <c r="H4" s="326" t="s">
        <v>272</v>
      </c>
    </row>
    <row r="5" spans="1:8" ht="12.75">
      <c r="A5" s="327" t="s">
        <v>273</v>
      </c>
      <c r="B5" s="328" t="s">
        <v>274</v>
      </c>
      <c r="C5" s="328" t="s">
        <v>275</v>
      </c>
      <c r="D5" s="328">
        <v>2014</v>
      </c>
      <c r="E5" s="328" t="s">
        <v>276</v>
      </c>
      <c r="F5" s="328" t="s">
        <v>277</v>
      </c>
      <c r="G5" s="328" t="s">
        <v>278</v>
      </c>
      <c r="H5" s="328" t="s">
        <v>279</v>
      </c>
    </row>
    <row r="6" spans="1:8" ht="13.5" thickBot="1">
      <c r="A6" s="329" t="s">
        <v>280</v>
      </c>
      <c r="B6" s="329"/>
      <c r="C6" s="329"/>
      <c r="D6" s="330">
        <v>1</v>
      </c>
      <c r="E6" s="328">
        <v>4</v>
      </c>
      <c r="F6" s="328"/>
      <c r="G6" s="328">
        <v>10</v>
      </c>
      <c r="H6" s="330" t="s">
        <v>67</v>
      </c>
    </row>
    <row r="7" spans="1:8" ht="13.5" thickBot="1">
      <c r="A7" s="330">
        <v>1</v>
      </c>
      <c r="B7" s="330">
        <v>2</v>
      </c>
      <c r="C7" s="330">
        <v>3</v>
      </c>
      <c r="D7" s="330">
        <v>4</v>
      </c>
      <c r="E7" s="331">
        <v>5</v>
      </c>
      <c r="F7" s="331">
        <v>6</v>
      </c>
      <c r="G7" s="331">
        <v>7</v>
      </c>
      <c r="H7" s="330">
        <v>8</v>
      </c>
    </row>
    <row r="8" spans="1:8" ht="12.75">
      <c r="A8" s="328">
        <v>1</v>
      </c>
      <c r="B8" s="332">
        <v>1</v>
      </c>
      <c r="C8" s="327" t="s">
        <v>281</v>
      </c>
      <c r="D8" s="327"/>
      <c r="E8" s="327"/>
      <c r="F8" s="327"/>
      <c r="G8" s="327"/>
      <c r="H8" s="327"/>
    </row>
    <row r="9" spans="1:8" ht="12.75">
      <c r="A9" s="328"/>
      <c r="B9" s="332"/>
      <c r="C9" s="327"/>
      <c r="D9" s="333">
        <v>6660000</v>
      </c>
      <c r="E9" s="334">
        <v>0</v>
      </c>
      <c r="F9" s="333">
        <v>100000</v>
      </c>
      <c r="G9" s="334">
        <v>0</v>
      </c>
      <c r="H9" s="333">
        <v>6760000</v>
      </c>
    </row>
    <row r="10" spans="1:8" ht="12.75">
      <c r="A10" s="328">
        <v>2</v>
      </c>
      <c r="B10" s="332">
        <v>2</v>
      </c>
      <c r="C10" s="327" t="s">
        <v>282</v>
      </c>
      <c r="D10" s="333">
        <v>18480000</v>
      </c>
      <c r="E10" s="334">
        <v>0</v>
      </c>
      <c r="F10" s="333">
        <v>100000</v>
      </c>
      <c r="G10" s="334">
        <v>0</v>
      </c>
      <c r="H10" s="333">
        <v>18580000</v>
      </c>
    </row>
    <row r="11" spans="1:8" ht="12.75">
      <c r="A11" s="328"/>
      <c r="B11" s="332"/>
      <c r="C11" s="327"/>
      <c r="D11" s="327"/>
      <c r="E11" s="327"/>
      <c r="F11" s="327"/>
      <c r="G11" s="327"/>
      <c r="H11" s="327"/>
    </row>
    <row r="12" spans="1:8" ht="12.75">
      <c r="A12" s="328">
        <v>3</v>
      </c>
      <c r="B12" s="332">
        <v>3</v>
      </c>
      <c r="C12" s="327" t="s">
        <v>283</v>
      </c>
      <c r="D12" s="333">
        <v>8866000</v>
      </c>
      <c r="E12" s="334">
        <v>0</v>
      </c>
      <c r="F12" s="333">
        <v>200000</v>
      </c>
      <c r="G12" s="334">
        <v>0</v>
      </c>
      <c r="H12" s="333">
        <v>9066000</v>
      </c>
    </row>
    <row r="13" spans="1:8" ht="12.75">
      <c r="A13" s="328"/>
      <c r="B13" s="332"/>
      <c r="C13" s="327"/>
      <c r="D13" s="327"/>
      <c r="E13" s="327"/>
      <c r="F13" s="327"/>
      <c r="G13" s="327"/>
      <c r="H13" s="327"/>
    </row>
    <row r="14" spans="1:8" ht="13.5" thickBot="1">
      <c r="A14" s="328">
        <v>4</v>
      </c>
      <c r="B14" s="332">
        <v>4</v>
      </c>
      <c r="C14" s="327" t="s">
        <v>284</v>
      </c>
      <c r="D14" s="333">
        <v>572444000</v>
      </c>
      <c r="E14" s="333">
        <v>59164000</v>
      </c>
      <c r="F14" s="333">
        <v>8500000</v>
      </c>
      <c r="G14" s="333">
        <v>2000000</v>
      </c>
      <c r="H14" s="333">
        <v>645414000</v>
      </c>
    </row>
    <row r="15" spans="1:8" ht="13.5" thickBot="1">
      <c r="A15" s="335"/>
      <c r="B15" s="335"/>
      <c r="C15" s="336" t="s">
        <v>285</v>
      </c>
      <c r="D15" s="337">
        <v>606450000</v>
      </c>
      <c r="E15" s="337">
        <v>59164000</v>
      </c>
      <c r="F15" s="337">
        <v>8900000</v>
      </c>
      <c r="G15" s="337">
        <v>2000000</v>
      </c>
      <c r="H15" s="337">
        <v>679820000</v>
      </c>
    </row>
    <row r="16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0">
      <selection activeCell="B31" sqref="B31"/>
    </sheetView>
  </sheetViews>
  <sheetFormatPr defaultColWidth="9.140625" defaultRowHeight="12.75"/>
  <cols>
    <col min="2" max="2" width="47.57421875" style="0" customWidth="1"/>
    <col min="3" max="3" width="17.421875" style="0" customWidth="1"/>
    <col min="4" max="4" width="29.57421875" style="0" customWidth="1"/>
  </cols>
  <sheetData>
    <row r="2" ht="13.5" thickBot="1"/>
    <row r="3" spans="2:4" ht="15.75" thickBot="1">
      <c r="B3" s="469" t="s">
        <v>389</v>
      </c>
      <c r="C3" s="488" t="s">
        <v>390</v>
      </c>
      <c r="D3" s="470" t="s">
        <v>391</v>
      </c>
    </row>
    <row r="4" spans="2:4" ht="15.75" thickBot="1">
      <c r="B4" s="471"/>
      <c r="C4" s="489" t="s">
        <v>392</v>
      </c>
      <c r="D4" s="473" t="s">
        <v>393</v>
      </c>
    </row>
    <row r="5" spans="2:4" ht="26.25" customHeight="1" thickBot="1">
      <c r="B5" s="474" t="s">
        <v>397</v>
      </c>
      <c r="C5" s="475">
        <v>10</v>
      </c>
      <c r="D5" s="476">
        <f>Metodologija!C77</f>
        <v>3955290</v>
      </c>
    </row>
    <row r="6" spans="2:4" ht="26.25" customHeight="1" thickBot="1">
      <c r="B6" s="474" t="s">
        <v>394</v>
      </c>
      <c r="C6" s="475">
        <v>13</v>
      </c>
      <c r="D6" s="476">
        <f>Metodologija!C74</f>
        <v>11479799</v>
      </c>
    </row>
    <row r="7" spans="2:4" ht="26.25" customHeight="1">
      <c r="B7" s="477"/>
      <c r="C7" s="478" t="s">
        <v>167</v>
      </c>
      <c r="D7" s="479">
        <f>D5+D6</f>
        <v>15435089</v>
      </c>
    </row>
    <row r="8" spans="2:4" ht="26.25" customHeight="1" thickBot="1">
      <c r="B8" s="480"/>
      <c r="C8" s="481"/>
      <c r="D8" s="481"/>
    </row>
    <row r="9" spans="2:4" ht="26.25" customHeight="1" thickBot="1">
      <c r="B9" s="490" t="s">
        <v>395</v>
      </c>
      <c r="C9" s="472"/>
      <c r="D9" s="482">
        <v>3809448.62</v>
      </c>
    </row>
    <row r="10" spans="2:4" ht="51" customHeight="1" thickBot="1">
      <c r="B10" s="483" t="s">
        <v>396</v>
      </c>
      <c r="C10" s="484"/>
      <c r="D10" s="485">
        <f>+Metodologija!C71+Metodologija!C63</f>
        <v>30938137.51</v>
      </c>
    </row>
    <row r="11" spans="2:4" ht="15">
      <c r="B11" s="478"/>
      <c r="C11" s="486"/>
      <c r="D11" s="487"/>
    </row>
    <row r="12" spans="2:4" ht="15.75" thickBot="1">
      <c r="B12" s="478"/>
      <c r="C12" s="475" t="s">
        <v>398</v>
      </c>
      <c r="D12" s="485">
        <f>+D7-D9-D10</f>
        <v>-19312497.130000003</v>
      </c>
    </row>
    <row r="17" ht="13.5" thickBot="1"/>
    <row r="18" spans="1:3" ht="15">
      <c r="A18" s="491" t="s">
        <v>399</v>
      </c>
      <c r="B18" s="492" t="s">
        <v>275</v>
      </c>
      <c r="C18" s="492" t="s">
        <v>393</v>
      </c>
    </row>
    <row r="19" spans="1:3" ht="15.75" thickBot="1">
      <c r="A19" s="493" t="s">
        <v>400</v>
      </c>
      <c r="B19" s="494"/>
      <c r="C19" s="494"/>
    </row>
    <row r="20" spans="1:3" ht="15.75" thickBot="1">
      <c r="A20" s="493">
        <v>1</v>
      </c>
      <c r="B20" s="494" t="s">
        <v>401</v>
      </c>
      <c r="C20" s="495" t="e">
        <f>+'Tab prihodi'!#REF!</f>
        <v>#REF!</v>
      </c>
    </row>
    <row r="21" spans="1:3" ht="15.75" thickBot="1">
      <c r="A21" s="493">
        <v>2</v>
      </c>
      <c r="B21" s="494" t="s">
        <v>402</v>
      </c>
      <c r="C21" s="495">
        <f>+'Tabelarni deo rashodi'!M58-'Tabelarni deo rashodi'!M32-'Tabelarni deo rashodi'!M57</f>
        <v>626395565.8199998</v>
      </c>
    </row>
    <row r="22" spans="1:3" ht="15.75" thickBot="1">
      <c r="A22" s="493">
        <v>3</v>
      </c>
      <c r="B22" s="494" t="s">
        <v>403</v>
      </c>
      <c r="C22" s="495" t="e">
        <f>+C20-C21</f>
        <v>#REF!</v>
      </c>
    </row>
    <row r="23" spans="1:3" ht="15.75" thickBot="1">
      <c r="A23" s="493">
        <v>4</v>
      </c>
      <c r="B23" s="494" t="s">
        <v>404</v>
      </c>
      <c r="C23" s="495">
        <f>+'Tabelarni deo rashodi'!P1129</f>
        <v>29301266.91</v>
      </c>
    </row>
    <row r="24" spans="1:3" ht="15.75" thickBot="1">
      <c r="A24" s="493">
        <v>5</v>
      </c>
      <c r="B24" s="494" t="s">
        <v>408</v>
      </c>
      <c r="C24" s="495" t="e">
        <f>+C22-C23</f>
        <v>#REF!</v>
      </c>
    </row>
    <row r="25" spans="1:3" ht="15.75" thickBot="1">
      <c r="A25" s="493">
        <v>6</v>
      </c>
      <c r="B25" s="494" t="s">
        <v>405</v>
      </c>
      <c r="C25" s="495">
        <f>+'Tabelarni deo rashodi'!O1129</f>
        <v>42054451.82</v>
      </c>
    </row>
    <row r="26" spans="1:3" ht="15.75" thickBot="1">
      <c r="A26" s="493">
        <v>7</v>
      </c>
      <c r="B26" s="494" t="s">
        <v>409</v>
      </c>
      <c r="C26" s="495" t="e">
        <f>+C24-C25</f>
        <v>#REF!</v>
      </c>
    </row>
    <row r="27" spans="1:3" ht="15.75" thickBot="1">
      <c r="A27" s="493">
        <v>8</v>
      </c>
      <c r="B27" s="494" t="s">
        <v>406</v>
      </c>
      <c r="C27" s="495">
        <f>+'Tabelarni deo rashodi'!M32</f>
        <v>29038137.51</v>
      </c>
    </row>
    <row r="28" spans="1:3" ht="15.75" thickBot="1">
      <c r="A28" s="493">
        <v>9</v>
      </c>
      <c r="B28" s="494" t="s">
        <v>407</v>
      </c>
      <c r="C28" s="495" t="e">
        <f>+C26+C27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421875" style="54" bestFit="1" customWidth="1"/>
    <col min="2" max="2" width="9.421875" style="60" bestFit="1" customWidth="1"/>
    <col min="3" max="3" width="43.57421875" style="58" customWidth="1"/>
    <col min="4" max="4" width="12.421875" style="75" bestFit="1" customWidth="1"/>
    <col min="5" max="5" width="11.421875" style="58" bestFit="1" customWidth="1"/>
    <col min="6" max="16384" width="9.140625" style="58" customWidth="1"/>
  </cols>
  <sheetData>
    <row r="1" spans="1:4" s="56" customFormat="1" ht="12">
      <c r="A1" s="24" t="s">
        <v>1</v>
      </c>
      <c r="B1" s="34" t="s">
        <v>2</v>
      </c>
      <c r="C1" s="34"/>
      <c r="D1" s="52"/>
    </row>
    <row r="2" spans="1:4" s="56" customFormat="1" ht="12">
      <c r="A2" s="25" t="s">
        <v>3</v>
      </c>
      <c r="B2" s="22" t="s">
        <v>4</v>
      </c>
      <c r="C2" s="22" t="s">
        <v>119</v>
      </c>
      <c r="D2" s="52">
        <v>395333333.3333333</v>
      </c>
    </row>
    <row r="3" spans="1:4" s="56" customFormat="1" ht="12">
      <c r="A3" s="26"/>
      <c r="B3" s="167">
        <v>711</v>
      </c>
      <c r="C3" s="3" t="s">
        <v>5</v>
      </c>
      <c r="D3" s="32">
        <v>233000000</v>
      </c>
    </row>
    <row r="4" spans="1:4" s="56" customFormat="1" ht="12">
      <c r="A4" s="27"/>
      <c r="B4" s="28">
        <v>713</v>
      </c>
      <c r="C4" s="169" t="s">
        <v>12</v>
      </c>
      <c r="D4" s="32">
        <v>95500000</v>
      </c>
    </row>
    <row r="5" spans="1:4" s="56" customFormat="1" ht="12">
      <c r="A5" s="27"/>
      <c r="B5" s="28">
        <v>714</v>
      </c>
      <c r="C5" s="169" t="s">
        <v>16</v>
      </c>
      <c r="D5" s="32">
        <v>48500000</v>
      </c>
    </row>
    <row r="6" spans="1:4" s="56" customFormat="1" ht="12">
      <c r="A6" s="27"/>
      <c r="B6" s="28"/>
      <c r="C6" s="169" t="s">
        <v>352</v>
      </c>
      <c r="D6" s="10"/>
    </row>
    <row r="7" spans="1:4" s="56" customFormat="1" ht="12">
      <c r="A7" s="27">
        <v>9</v>
      </c>
      <c r="B7" s="7">
        <v>714430</v>
      </c>
      <c r="C7" s="8" t="s">
        <v>17</v>
      </c>
      <c r="D7" s="30"/>
    </row>
    <row r="8" spans="1:4" s="56" customFormat="1" ht="12">
      <c r="A8" s="27">
        <v>11</v>
      </c>
      <c r="B8" s="7">
        <v>714540</v>
      </c>
      <c r="C8" s="8" t="s">
        <v>19</v>
      </c>
      <c r="D8" s="30"/>
    </row>
    <row r="9" spans="1:4" s="56" customFormat="1" ht="12">
      <c r="A9" s="27">
        <v>13</v>
      </c>
      <c r="B9" s="7">
        <v>714570</v>
      </c>
      <c r="C9" s="9" t="s">
        <v>21</v>
      </c>
      <c r="D9" s="30"/>
    </row>
    <row r="10" spans="1:4" s="56" customFormat="1" ht="12">
      <c r="A10" s="27">
        <v>14</v>
      </c>
      <c r="B10" s="7">
        <v>714590</v>
      </c>
      <c r="C10" s="9" t="s">
        <v>125</v>
      </c>
      <c r="D10" s="30"/>
    </row>
    <row r="11" spans="1:4" s="56" customFormat="1" ht="12">
      <c r="A11" s="27"/>
      <c r="B11" s="28">
        <v>716</v>
      </c>
      <c r="C11" s="169" t="s">
        <v>23</v>
      </c>
      <c r="D11" s="30">
        <v>18000000</v>
      </c>
    </row>
    <row r="12" spans="1:5" ht="13.5" thickBot="1">
      <c r="A12" s="175"/>
      <c r="B12" s="176" t="s">
        <v>56</v>
      </c>
      <c r="C12" s="185"/>
      <c r="D12" s="186">
        <f>SUM(D3:D11)</f>
        <v>395000000</v>
      </c>
      <c r="E12" s="54">
        <v>333333.33333331347</v>
      </c>
    </row>
    <row r="13" spans="1:4" s="56" customFormat="1" ht="12">
      <c r="A13" s="33"/>
      <c r="B13" s="5"/>
      <c r="C13" s="49"/>
      <c r="D13" s="178">
        <v>593000</v>
      </c>
    </row>
    <row r="14" spans="1:5" s="56" customFormat="1" ht="12">
      <c r="A14" s="33"/>
      <c r="B14" s="5"/>
      <c r="C14" s="49"/>
      <c r="D14" s="178">
        <f>+D12*0.0015</f>
        <v>592500</v>
      </c>
      <c r="E14" s="52">
        <v>-500</v>
      </c>
    </row>
    <row r="15" spans="1:4" s="56" customFormat="1" ht="12">
      <c r="A15" s="26">
        <v>38</v>
      </c>
      <c r="B15" s="26">
        <v>911451</v>
      </c>
      <c r="C15" s="179" t="s">
        <v>128</v>
      </c>
      <c r="D15" s="4"/>
    </row>
    <row r="16" spans="1:4" s="56" customFormat="1" ht="12" customHeight="1">
      <c r="A16" s="33"/>
      <c r="B16" s="5"/>
      <c r="C16" s="49" t="s">
        <v>129</v>
      </c>
      <c r="D16" s="178"/>
    </row>
    <row r="17" spans="1:4" s="56" customFormat="1" ht="12.75" thickBot="1">
      <c r="A17" s="175"/>
      <c r="B17" s="176" t="s">
        <v>56</v>
      </c>
      <c r="C17" s="177"/>
      <c r="D17" s="50"/>
    </row>
    <row r="20" ht="12.75">
      <c r="C20" s="75">
        <v>351000000</v>
      </c>
    </row>
    <row r="21" ht="12.75">
      <c r="C21" s="54">
        <v>526500</v>
      </c>
    </row>
    <row r="25" ht="12.75">
      <c r="C25" s="75">
        <v>520058943.39</v>
      </c>
    </row>
    <row r="26" ht="12.75">
      <c r="C26" s="75">
        <v>590000000</v>
      </c>
    </row>
    <row r="27" ht="12.75">
      <c r="C27" s="58">
        <v>353271869.89162016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59">
      <selection activeCell="A89" sqref="A89"/>
    </sheetView>
  </sheetViews>
  <sheetFormatPr defaultColWidth="9.140625" defaultRowHeight="12.75"/>
  <cols>
    <col min="1" max="1" width="9.421875" style="54" bestFit="1" customWidth="1"/>
    <col min="2" max="2" width="9.421875" style="60" bestFit="1" customWidth="1"/>
    <col min="3" max="3" width="43.57421875" style="58" customWidth="1"/>
    <col min="4" max="5" width="15.421875" style="65" customWidth="1"/>
    <col min="6" max="6" width="9.8515625" style="65" customWidth="1"/>
    <col min="7" max="7" width="9.140625" style="58" customWidth="1"/>
    <col min="8" max="9" width="10.8515625" style="58" bestFit="1" customWidth="1"/>
    <col min="10" max="10" width="13.421875" style="58" bestFit="1" customWidth="1"/>
    <col min="11" max="16384" width="9.140625" style="58" customWidth="1"/>
  </cols>
  <sheetData>
    <row r="1" ht="15.75">
      <c r="J1" s="542" t="s">
        <v>441</v>
      </c>
    </row>
    <row r="2" ht="12.75">
      <c r="A2" s="5" t="s">
        <v>439</v>
      </c>
    </row>
    <row r="3" ht="12.75"/>
    <row r="4" spans="1:6" s="56" customFormat="1" ht="12">
      <c r="A4" s="24" t="s">
        <v>399</v>
      </c>
      <c r="B4" s="24" t="s">
        <v>443</v>
      </c>
      <c r="C4" s="34"/>
      <c r="D4" s="11" t="s">
        <v>450</v>
      </c>
      <c r="E4" s="11" t="s">
        <v>446</v>
      </c>
      <c r="F4" s="46" t="s">
        <v>62</v>
      </c>
    </row>
    <row r="5" spans="1:6" s="56" customFormat="1" ht="12">
      <c r="A5" s="25" t="s">
        <v>400</v>
      </c>
      <c r="B5" s="25" t="s">
        <v>447</v>
      </c>
      <c r="C5" s="25" t="s">
        <v>475</v>
      </c>
      <c r="D5" s="41">
        <v>2014</v>
      </c>
      <c r="E5" s="41" t="s">
        <v>440</v>
      </c>
      <c r="F5" s="45" t="s">
        <v>360</v>
      </c>
    </row>
    <row r="6" spans="1:6" s="56" customFormat="1" ht="12">
      <c r="A6" s="26">
        <v>1</v>
      </c>
      <c r="B6" s="26">
        <v>2</v>
      </c>
      <c r="C6" s="26">
        <v>3</v>
      </c>
      <c r="D6" s="43">
        <v>4</v>
      </c>
      <c r="E6" s="43">
        <v>5</v>
      </c>
      <c r="F6" s="44">
        <v>6</v>
      </c>
    </row>
    <row r="7" spans="1:5" s="56" customFormat="1" ht="12" hidden="1">
      <c r="A7" s="165"/>
      <c r="B7" s="166">
        <v>321121</v>
      </c>
      <c r="C7" s="1" t="s">
        <v>494</v>
      </c>
      <c r="D7" s="497">
        <v>42344568.39</v>
      </c>
      <c r="E7" s="74"/>
    </row>
    <row r="8" spans="1:8" s="56" customFormat="1" ht="12">
      <c r="A8" s="26"/>
      <c r="B8" s="167">
        <v>711</v>
      </c>
      <c r="C8" s="3" t="s">
        <v>476</v>
      </c>
      <c r="D8" s="55"/>
      <c r="E8" s="55"/>
      <c r="F8" s="57"/>
      <c r="G8" s="67"/>
      <c r="H8" s="67"/>
    </row>
    <row r="9" spans="1:8" s="59" customFormat="1" ht="12">
      <c r="A9" s="27">
        <v>1</v>
      </c>
      <c r="B9" s="7">
        <v>711110</v>
      </c>
      <c r="C9" s="8" t="s">
        <v>442</v>
      </c>
      <c r="D9" s="30">
        <f>190000000+1500000</f>
        <v>191500000</v>
      </c>
      <c r="E9" s="30">
        <v>184427125.07</v>
      </c>
      <c r="F9" s="181">
        <f>E9/D9*100</f>
        <v>96.30659272584856</v>
      </c>
      <c r="G9" s="67"/>
      <c r="H9" s="67"/>
    </row>
    <row r="10" spans="1:8" s="56" customFormat="1" ht="12">
      <c r="A10" s="27">
        <f>+A9+1</f>
        <v>2</v>
      </c>
      <c r="B10" s="7">
        <v>711120</v>
      </c>
      <c r="C10" s="8" t="s">
        <v>477</v>
      </c>
      <c r="D10" s="30">
        <v>22000000</v>
      </c>
      <c r="E10" s="30">
        <v>20491848.37</v>
      </c>
      <c r="F10" s="181">
        <f>E10/D10*100</f>
        <v>93.14476531818183</v>
      </c>
      <c r="G10" s="67"/>
      <c r="H10" s="67"/>
    </row>
    <row r="11" spans="1:8" s="56" customFormat="1" ht="12">
      <c r="A11" s="27">
        <f>+A10+1</f>
        <v>3</v>
      </c>
      <c r="B11" s="7">
        <v>711140</v>
      </c>
      <c r="C11" s="8" t="s">
        <v>478</v>
      </c>
      <c r="D11" s="30">
        <v>11000000</v>
      </c>
      <c r="E11" s="30">
        <v>1205542.91</v>
      </c>
      <c r="F11" s="181">
        <f>E11/D11*100</f>
        <v>10.959480999999998</v>
      </c>
      <c r="G11" s="67"/>
      <c r="H11" s="67"/>
    </row>
    <row r="12" spans="1:8" s="56" customFormat="1" ht="12">
      <c r="A12" s="27">
        <v>5</v>
      </c>
      <c r="B12" s="7">
        <v>711160</v>
      </c>
      <c r="C12" s="8" t="s">
        <v>485</v>
      </c>
      <c r="D12" s="30"/>
      <c r="E12" s="30"/>
      <c r="F12" s="181"/>
      <c r="G12" s="67"/>
      <c r="H12" s="67"/>
    </row>
    <row r="13" spans="1:8" s="56" customFormat="1" ht="12">
      <c r="A13" s="27">
        <v>6</v>
      </c>
      <c r="B13" s="7">
        <v>711180</v>
      </c>
      <c r="C13" s="8" t="s">
        <v>444</v>
      </c>
      <c r="D13" s="30">
        <v>7000000</v>
      </c>
      <c r="E13" s="30">
        <v>6718657.97</v>
      </c>
      <c r="F13" s="181">
        <f>E13/D13*100</f>
        <v>95.98082814285715</v>
      </c>
      <c r="G13" s="67"/>
      <c r="H13" s="67"/>
    </row>
    <row r="14" spans="1:8" s="56" customFormat="1" ht="12">
      <c r="A14" s="27">
        <f>+A13+1</f>
        <v>7</v>
      </c>
      <c r="B14" s="7">
        <v>711190</v>
      </c>
      <c r="C14" s="9" t="s">
        <v>479</v>
      </c>
      <c r="D14" s="30">
        <v>15500000</v>
      </c>
      <c r="E14" s="30">
        <v>15555727.28</v>
      </c>
      <c r="F14" s="181">
        <f>E14/D14*100</f>
        <v>100.35953083870967</v>
      </c>
      <c r="G14" s="67"/>
      <c r="H14" s="67"/>
    </row>
    <row r="15" spans="1:8" s="56" customFormat="1" ht="12">
      <c r="A15" s="26"/>
      <c r="B15" s="26"/>
      <c r="C15" s="3" t="s">
        <v>451</v>
      </c>
      <c r="D15" s="32">
        <f>SUM(D9:D14)</f>
        <v>247000000</v>
      </c>
      <c r="E15" s="32">
        <f>SUM(E9:E14)</f>
        <v>228398901.6</v>
      </c>
      <c r="F15" s="182">
        <f>E15/D15*100</f>
        <v>92.46919093117408</v>
      </c>
      <c r="G15" s="67"/>
      <c r="H15" s="67"/>
    </row>
    <row r="16" spans="1:8" s="56" customFormat="1" ht="12">
      <c r="A16" s="33"/>
      <c r="B16" s="168">
        <v>712</v>
      </c>
      <c r="C16" s="5" t="s">
        <v>471</v>
      </c>
      <c r="D16" s="10"/>
      <c r="E16" s="10"/>
      <c r="F16" s="442"/>
      <c r="G16" s="67"/>
      <c r="H16" s="67"/>
    </row>
    <row r="17" spans="1:8" s="56" customFormat="1" ht="12">
      <c r="A17" s="33"/>
      <c r="B17" s="33">
        <v>712110</v>
      </c>
      <c r="C17" s="42" t="s">
        <v>471</v>
      </c>
      <c r="D17" s="10"/>
      <c r="E17" s="10">
        <v>981.2</v>
      </c>
      <c r="F17" s="442"/>
      <c r="G17" s="67"/>
      <c r="H17" s="67"/>
    </row>
    <row r="18" spans="1:8" s="56" customFormat="1" ht="12">
      <c r="A18" s="26"/>
      <c r="B18" s="26"/>
      <c r="C18" s="3" t="s">
        <v>452</v>
      </c>
      <c r="D18" s="32"/>
      <c r="E18" s="32">
        <f>+E17</f>
        <v>981.2</v>
      </c>
      <c r="F18" s="182"/>
      <c r="G18" s="67"/>
      <c r="H18" s="67"/>
    </row>
    <row r="19" spans="1:8" s="56" customFormat="1" ht="12">
      <c r="A19" s="27"/>
      <c r="B19" s="28">
        <v>713</v>
      </c>
      <c r="C19" s="169" t="s">
        <v>453</v>
      </c>
      <c r="D19" s="30"/>
      <c r="E19" s="30"/>
      <c r="F19" s="181"/>
      <c r="G19" s="67"/>
      <c r="H19" s="67"/>
    </row>
    <row r="20" spans="1:8" s="56" customFormat="1" ht="12">
      <c r="A20" s="27">
        <f>A14+1</f>
        <v>8</v>
      </c>
      <c r="B20" s="7">
        <v>713120</v>
      </c>
      <c r="C20" s="8" t="s">
        <v>453</v>
      </c>
      <c r="D20" s="30">
        <v>88440000</v>
      </c>
      <c r="E20" s="30">
        <v>86970785.8</v>
      </c>
      <c r="F20" s="181">
        <f>E20/D20*100</f>
        <v>98.33874468566259</v>
      </c>
      <c r="G20" s="67"/>
      <c r="H20" s="67"/>
    </row>
    <row r="21" spans="1:8" s="56" customFormat="1" ht="12">
      <c r="A21" s="27">
        <f>+A20+1</f>
        <v>9</v>
      </c>
      <c r="B21" s="7">
        <v>713310</v>
      </c>
      <c r="C21" s="8" t="s">
        <v>445</v>
      </c>
      <c r="D21" s="30">
        <v>5000000</v>
      </c>
      <c r="E21" s="30">
        <v>3366978.47</v>
      </c>
      <c r="F21" s="181">
        <f>E21/D21*100</f>
        <v>67.3395694</v>
      </c>
      <c r="G21" s="67"/>
      <c r="H21" s="67"/>
    </row>
    <row r="22" spans="1:8" s="56" customFormat="1" ht="12">
      <c r="A22" s="27">
        <f>+A21+1</f>
        <v>10</v>
      </c>
      <c r="B22" s="7">
        <v>713420</v>
      </c>
      <c r="C22" s="8" t="s">
        <v>486</v>
      </c>
      <c r="D22" s="30">
        <v>41000000</v>
      </c>
      <c r="E22" s="30">
        <v>32950288.78</v>
      </c>
      <c r="F22" s="181">
        <f>E22/D22*100</f>
        <v>80.366558</v>
      </c>
      <c r="G22" s="67"/>
      <c r="H22" s="67"/>
    </row>
    <row r="23" spans="1:8" s="56" customFormat="1" ht="12">
      <c r="A23" s="26"/>
      <c r="B23" s="26"/>
      <c r="C23" s="3" t="s">
        <v>454</v>
      </c>
      <c r="D23" s="32">
        <f>SUM(D20:D22)</f>
        <v>134440000</v>
      </c>
      <c r="E23" s="32">
        <f>SUM(E20:E22)</f>
        <v>123288053.05</v>
      </c>
      <c r="F23" s="182">
        <f>E23/D23*100</f>
        <v>91.70488920708122</v>
      </c>
      <c r="G23" s="67"/>
      <c r="H23" s="67"/>
    </row>
    <row r="24" spans="1:8" s="56" customFormat="1" ht="12">
      <c r="A24" s="27"/>
      <c r="B24" s="28">
        <v>714</v>
      </c>
      <c r="C24" s="169" t="s">
        <v>455</v>
      </c>
      <c r="D24" s="30"/>
      <c r="E24" s="30"/>
      <c r="F24" s="181"/>
      <c r="G24" s="67"/>
      <c r="H24" s="67"/>
    </row>
    <row r="25" spans="1:6" s="56" customFormat="1" ht="12">
      <c r="A25" s="27">
        <f>A22+1</f>
        <v>11</v>
      </c>
      <c r="B25" s="7">
        <v>714430</v>
      </c>
      <c r="C25" s="8" t="s">
        <v>495</v>
      </c>
      <c r="D25" s="30">
        <v>900000</v>
      </c>
      <c r="E25" s="30">
        <v>11202.16</v>
      </c>
      <c r="F25" s="181">
        <f>E25/D25*100</f>
        <v>1.2446844444444445</v>
      </c>
    </row>
    <row r="26" spans="1:6" s="56" customFormat="1" ht="12">
      <c r="A26" s="27">
        <f>A25+1</f>
        <v>12</v>
      </c>
      <c r="B26" s="7">
        <v>714510</v>
      </c>
      <c r="C26" s="8" t="s">
        <v>448</v>
      </c>
      <c r="D26" s="30">
        <v>13700000</v>
      </c>
      <c r="E26" s="30">
        <v>12071493</v>
      </c>
      <c r="F26" s="181">
        <f>E26/D26*100</f>
        <v>88.11308759124088</v>
      </c>
    </row>
    <row r="27" spans="1:6" s="56" customFormat="1" ht="12">
      <c r="A27" s="27">
        <f>A26+1</f>
        <v>13</v>
      </c>
      <c r="B27" s="7">
        <v>714540</v>
      </c>
      <c r="C27" s="8" t="s">
        <v>496</v>
      </c>
      <c r="D27" s="30">
        <v>4508000</v>
      </c>
      <c r="E27" s="30">
        <v>3353010</v>
      </c>
      <c r="F27" s="181">
        <f>E27/D27*100</f>
        <v>74.37910381543922</v>
      </c>
    </row>
    <row r="28" spans="1:6" s="56" customFormat="1" ht="12">
      <c r="A28" s="27">
        <f>A27+1</f>
        <v>14</v>
      </c>
      <c r="B28" s="7">
        <v>714552</v>
      </c>
      <c r="C28" s="8" t="s">
        <v>497</v>
      </c>
      <c r="D28" s="30">
        <v>36390000</v>
      </c>
      <c r="E28" s="30">
        <v>22031822.67</v>
      </c>
      <c r="F28" s="181">
        <f>E28/D28*100</f>
        <v>60.54361821929102</v>
      </c>
    </row>
    <row r="29" spans="1:6" s="56" customFormat="1" ht="12">
      <c r="A29" s="27"/>
      <c r="B29" s="7">
        <v>714562</v>
      </c>
      <c r="C29" s="8" t="s">
        <v>498</v>
      </c>
      <c r="D29" s="30"/>
      <c r="E29" s="30">
        <v>825</v>
      </c>
      <c r="F29" s="181"/>
    </row>
    <row r="30" spans="1:6" s="56" customFormat="1" ht="12">
      <c r="A30" s="27">
        <f>A28+1</f>
        <v>15</v>
      </c>
      <c r="B30" s="7">
        <v>714570</v>
      </c>
      <c r="C30" s="9" t="s">
        <v>499</v>
      </c>
      <c r="D30" s="30"/>
      <c r="E30" s="30"/>
      <c r="F30" s="181"/>
    </row>
    <row r="31" spans="1:6" s="56" customFormat="1" ht="12">
      <c r="A31" s="27">
        <f>A30+1</f>
        <v>16</v>
      </c>
      <c r="B31" s="7">
        <v>714590</v>
      </c>
      <c r="C31" s="9" t="s">
        <v>500</v>
      </c>
      <c r="D31" s="30">
        <v>2200000</v>
      </c>
      <c r="E31" s="30">
        <v>547834.8</v>
      </c>
      <c r="F31" s="181">
        <f>E31/D31*100</f>
        <v>24.90158181818182</v>
      </c>
    </row>
    <row r="32" spans="1:6" s="56" customFormat="1" ht="12">
      <c r="A32" s="26"/>
      <c r="B32" s="26"/>
      <c r="C32" s="3" t="s">
        <v>456</v>
      </c>
      <c r="D32" s="32">
        <f>SUM(D25:D31)</f>
        <v>57698000</v>
      </c>
      <c r="E32" s="32">
        <f>SUM(E25:E31)</f>
        <v>38016187.629999995</v>
      </c>
      <c r="F32" s="182">
        <f>E32/D32*100</f>
        <v>65.8882242538736</v>
      </c>
    </row>
    <row r="33" spans="1:6" s="56" customFormat="1" ht="12">
      <c r="A33" s="27"/>
      <c r="B33" s="28">
        <v>716</v>
      </c>
      <c r="C33" s="169" t="s">
        <v>457</v>
      </c>
      <c r="D33" s="30"/>
      <c r="E33" s="30"/>
      <c r="F33" s="181"/>
    </row>
    <row r="34" spans="1:6" s="56" customFormat="1" ht="12">
      <c r="A34" s="27">
        <f>A31+1</f>
        <v>17</v>
      </c>
      <c r="B34" s="7">
        <v>716110</v>
      </c>
      <c r="C34" s="9" t="s">
        <v>472</v>
      </c>
      <c r="D34" s="30">
        <v>18000000</v>
      </c>
      <c r="E34" s="30">
        <v>23372280.23</v>
      </c>
      <c r="F34" s="181">
        <f>E34/D34*100</f>
        <v>129.8460012777778</v>
      </c>
    </row>
    <row r="35" spans="1:6" s="56" customFormat="1" ht="12">
      <c r="A35" s="26"/>
      <c r="B35" s="26"/>
      <c r="C35" s="3" t="s">
        <v>458</v>
      </c>
      <c r="D35" s="4">
        <f>SUM(D34)</f>
        <v>18000000</v>
      </c>
      <c r="E35" s="4">
        <f>SUM(E34)</f>
        <v>23372280.23</v>
      </c>
      <c r="F35" s="182">
        <f>E35/D35*100</f>
        <v>129.8460012777778</v>
      </c>
    </row>
    <row r="36" spans="1:6" s="56" customFormat="1" ht="12">
      <c r="A36" s="33"/>
      <c r="B36" s="168">
        <v>732</v>
      </c>
      <c r="C36" s="5"/>
      <c r="D36" s="6"/>
      <c r="E36" s="6"/>
      <c r="F36" s="181"/>
    </row>
    <row r="37" spans="1:6" s="56" customFormat="1" ht="12">
      <c r="A37" s="33">
        <f>A34+1</f>
        <v>18</v>
      </c>
      <c r="B37" s="170">
        <v>732150</v>
      </c>
      <c r="C37" s="42" t="s">
        <v>487</v>
      </c>
      <c r="D37" s="6"/>
      <c r="E37" s="6"/>
      <c r="F37" s="181"/>
    </row>
    <row r="38" spans="1:6" s="56" customFormat="1" ht="12">
      <c r="A38" s="26"/>
      <c r="B38" s="26"/>
      <c r="C38" s="3" t="s">
        <v>459</v>
      </c>
      <c r="D38" s="4">
        <f>SUM(D37)</f>
        <v>0</v>
      </c>
      <c r="E38" s="4"/>
      <c r="F38" s="182"/>
    </row>
    <row r="39" spans="1:6" s="56" customFormat="1" ht="12">
      <c r="A39" s="33"/>
      <c r="B39" s="2">
        <v>730</v>
      </c>
      <c r="C39" s="169" t="s">
        <v>488</v>
      </c>
      <c r="D39" s="30"/>
      <c r="E39" s="30"/>
      <c r="F39" s="181"/>
    </row>
    <row r="40" spans="1:6" s="56" customFormat="1" ht="12">
      <c r="A40" s="27">
        <f>A37+1</f>
        <v>19</v>
      </c>
      <c r="B40" s="7">
        <v>733151</v>
      </c>
      <c r="C40" s="9" t="s">
        <v>473</v>
      </c>
      <c r="D40" s="30">
        <v>88815000</v>
      </c>
      <c r="E40" s="30">
        <v>88815084</v>
      </c>
      <c r="F40" s="181">
        <f>E40/D40*100</f>
        <v>100.00009457861847</v>
      </c>
    </row>
    <row r="41" spans="1:6" s="56" customFormat="1" ht="12">
      <c r="A41" s="27">
        <f>A40+1</f>
        <v>20</v>
      </c>
      <c r="B41" s="7">
        <v>733152</v>
      </c>
      <c r="C41" s="9" t="s">
        <v>501</v>
      </c>
      <c r="D41" s="30"/>
      <c r="E41" s="30"/>
      <c r="F41" s="181"/>
    </row>
    <row r="42" spans="1:6" s="56" customFormat="1" ht="12">
      <c r="A42" s="27">
        <f>A41+1</f>
        <v>21</v>
      </c>
      <c r="B42" s="7">
        <v>733154</v>
      </c>
      <c r="C42" s="9" t="s">
        <v>474</v>
      </c>
      <c r="D42" s="30"/>
      <c r="E42" s="30">
        <v>33116250</v>
      </c>
      <c r="F42" s="181"/>
    </row>
    <row r="43" spans="1:6" s="56" customFormat="1" ht="12">
      <c r="A43" s="27">
        <v>22</v>
      </c>
      <c r="B43" s="7">
        <v>733157</v>
      </c>
      <c r="C43" s="9" t="s">
        <v>502</v>
      </c>
      <c r="D43" s="30"/>
      <c r="E43" s="30">
        <v>62300</v>
      </c>
      <c r="F43" s="181"/>
    </row>
    <row r="44" spans="1:6" s="56" customFormat="1" ht="12">
      <c r="A44" s="26"/>
      <c r="B44" s="26"/>
      <c r="C44" s="3" t="s">
        <v>460</v>
      </c>
      <c r="D44" s="4">
        <f>SUM(D40:D43)</f>
        <v>88815000</v>
      </c>
      <c r="E44" s="4">
        <f>SUM(E40:E43)</f>
        <v>121993634</v>
      </c>
      <c r="F44" s="182">
        <f>E44/D44*100</f>
        <v>137.35701626977425</v>
      </c>
    </row>
    <row r="45" spans="1:6" s="56" customFormat="1" ht="12">
      <c r="A45" s="27"/>
      <c r="B45" s="28">
        <v>741</v>
      </c>
      <c r="C45" s="169" t="s">
        <v>480</v>
      </c>
      <c r="D45" s="30"/>
      <c r="E45" s="30"/>
      <c r="F45" s="181"/>
    </row>
    <row r="46" spans="1:6" s="56" customFormat="1" ht="12">
      <c r="A46" s="27">
        <v>23</v>
      </c>
      <c r="B46" s="7">
        <v>741150</v>
      </c>
      <c r="C46" s="8" t="s">
        <v>503</v>
      </c>
      <c r="D46" s="30">
        <v>5500000</v>
      </c>
      <c r="E46" s="30">
        <v>3975745.13</v>
      </c>
      <c r="F46" s="181">
        <f>E46/D46*100</f>
        <v>72.28627509090909</v>
      </c>
    </row>
    <row r="47" spans="1:6" s="56" customFormat="1" ht="12">
      <c r="A47" s="27">
        <f>+A46+1</f>
        <v>24</v>
      </c>
      <c r="B47" s="7">
        <v>741531</v>
      </c>
      <c r="C47" s="8" t="s">
        <v>504</v>
      </c>
      <c r="D47" s="30">
        <v>18000000</v>
      </c>
      <c r="E47" s="30">
        <v>18230044.73</v>
      </c>
      <c r="F47" s="181">
        <f>E47/D47*100</f>
        <v>101.27802627777778</v>
      </c>
    </row>
    <row r="48" spans="1:6" s="56" customFormat="1" ht="12">
      <c r="A48" s="8"/>
      <c r="B48" s="7"/>
      <c r="C48" s="8" t="s">
        <v>505</v>
      </c>
      <c r="D48" s="30"/>
      <c r="E48" s="30"/>
      <c r="F48" s="181"/>
    </row>
    <row r="49" spans="1:6" s="56" customFormat="1" ht="12">
      <c r="A49" s="27"/>
      <c r="B49" s="7"/>
      <c r="C49" s="8" t="s">
        <v>506</v>
      </c>
      <c r="D49" s="30"/>
      <c r="E49" s="30"/>
      <c r="F49" s="181"/>
    </row>
    <row r="50" spans="1:6" s="56" customFormat="1" ht="12">
      <c r="A50" s="27">
        <f>+A47+1</f>
        <v>25</v>
      </c>
      <c r="B50" s="7">
        <v>741532</v>
      </c>
      <c r="C50" s="8" t="s">
        <v>507</v>
      </c>
      <c r="D50" s="30">
        <v>1000000</v>
      </c>
      <c r="E50" s="30">
        <v>1003592</v>
      </c>
      <c r="F50" s="181">
        <f aca="true" t="shared" si="0" ref="F50:F55">E50/D50*100</f>
        <v>100.3592</v>
      </c>
    </row>
    <row r="51" spans="1:6" s="56" customFormat="1" ht="12">
      <c r="A51" s="27">
        <f>+A50+1</f>
        <v>26</v>
      </c>
      <c r="B51" s="7">
        <v>741534</v>
      </c>
      <c r="C51" s="8" t="s">
        <v>508</v>
      </c>
      <c r="D51" s="10">
        <v>12000000</v>
      </c>
      <c r="E51" s="10">
        <v>8119548.81</v>
      </c>
      <c r="F51" s="181">
        <f t="shared" si="0"/>
        <v>67.66290674999999</v>
      </c>
    </row>
    <row r="52" spans="1:6" s="56" customFormat="1" ht="12">
      <c r="A52" s="27">
        <f>A51+1</f>
        <v>27</v>
      </c>
      <c r="B52" s="7">
        <v>741535</v>
      </c>
      <c r="C52" s="8" t="s">
        <v>461</v>
      </c>
      <c r="D52" s="30">
        <v>1500000</v>
      </c>
      <c r="E52" s="30">
        <v>408054.6</v>
      </c>
      <c r="F52" s="181">
        <f t="shared" si="0"/>
        <v>27.20364</v>
      </c>
    </row>
    <row r="53" spans="1:6" s="56" customFormat="1" ht="12">
      <c r="A53" s="27">
        <f>A52+1</f>
        <v>28</v>
      </c>
      <c r="B53" s="7">
        <v>741540</v>
      </c>
      <c r="C53" s="9" t="s">
        <v>509</v>
      </c>
      <c r="D53" s="30">
        <v>8000000</v>
      </c>
      <c r="E53" s="30">
        <v>1500000</v>
      </c>
      <c r="F53" s="181">
        <f t="shared" si="0"/>
        <v>18.75</v>
      </c>
    </row>
    <row r="54" spans="1:6" s="56" customFormat="1" ht="12">
      <c r="A54" s="27">
        <f>A53+1</f>
        <v>29</v>
      </c>
      <c r="B54" s="7">
        <v>741569</v>
      </c>
      <c r="C54" s="9" t="s">
        <v>489</v>
      </c>
      <c r="D54" s="30">
        <v>100000</v>
      </c>
      <c r="E54" s="30">
        <v>6443.57</v>
      </c>
      <c r="F54" s="183">
        <f t="shared" si="0"/>
        <v>6.44357</v>
      </c>
    </row>
    <row r="55" spans="1:6" s="56" customFormat="1" ht="12">
      <c r="A55" s="26"/>
      <c r="B55" s="26"/>
      <c r="C55" s="3" t="s">
        <v>462</v>
      </c>
      <c r="D55" s="4">
        <f>SUM(D46:D54)</f>
        <v>46100000</v>
      </c>
      <c r="E55" s="4">
        <f>SUM(E46:E54)</f>
        <v>33243428.84</v>
      </c>
      <c r="F55" s="182">
        <f t="shared" si="0"/>
        <v>72.11155930585683</v>
      </c>
    </row>
    <row r="56" spans="1:6" s="56" customFormat="1" ht="12">
      <c r="A56" s="33"/>
      <c r="B56" s="28">
        <v>742</v>
      </c>
      <c r="C56" s="169" t="s">
        <v>481</v>
      </c>
      <c r="D56" s="171"/>
      <c r="E56" s="171"/>
      <c r="F56" s="73"/>
    </row>
    <row r="57" spans="1:6" s="56" customFormat="1" ht="12" hidden="1">
      <c r="A57" s="17" t="s">
        <v>410</v>
      </c>
      <c r="B57" s="500">
        <v>742152</v>
      </c>
      <c r="C57" s="502" t="s">
        <v>482</v>
      </c>
      <c r="D57" s="501">
        <v>0</v>
      </c>
      <c r="E57" s="59">
        <v>0</v>
      </c>
      <c r="F57" s="73"/>
    </row>
    <row r="58" spans="1:6" s="56" customFormat="1" ht="12">
      <c r="A58" s="27">
        <f>A54+1</f>
        <v>30</v>
      </c>
      <c r="B58" s="7">
        <v>742153</v>
      </c>
      <c r="C58" s="8" t="s">
        <v>510</v>
      </c>
      <c r="D58" s="30">
        <v>1000000</v>
      </c>
      <c r="E58" s="501">
        <v>1516022.86</v>
      </c>
      <c r="F58" s="181">
        <f>E58/D58*100</f>
        <v>151.60228600000002</v>
      </c>
    </row>
    <row r="59" spans="1:6" s="56" customFormat="1" ht="12">
      <c r="A59" s="27">
        <f>A58+1</f>
        <v>31</v>
      </c>
      <c r="B59" s="7">
        <v>742251</v>
      </c>
      <c r="C59" s="172" t="s">
        <v>511</v>
      </c>
      <c r="D59" s="30">
        <v>3900000</v>
      </c>
      <c r="E59" s="30">
        <v>1737861.29</v>
      </c>
      <c r="F59" s="181">
        <f>E59/D59*100</f>
        <v>44.5605458974359</v>
      </c>
    </row>
    <row r="60" spans="1:6" s="56" customFormat="1" ht="12">
      <c r="A60" s="27">
        <f>A59+1</f>
        <v>32</v>
      </c>
      <c r="B60" s="7">
        <v>742253</v>
      </c>
      <c r="C60" s="8" t="s">
        <v>512</v>
      </c>
      <c r="D60" s="30">
        <v>60000000</v>
      </c>
      <c r="E60" s="30">
        <v>76967572.33</v>
      </c>
      <c r="F60" s="181">
        <f>E60/D60*100</f>
        <v>128.27928721666666</v>
      </c>
    </row>
    <row r="61" spans="1:6" s="56" customFormat="1" ht="12">
      <c r="A61" s="27">
        <f>A60+1</f>
        <v>33</v>
      </c>
      <c r="B61" s="7">
        <v>742351</v>
      </c>
      <c r="C61" s="9" t="s">
        <v>513</v>
      </c>
      <c r="D61" s="30">
        <v>2200000</v>
      </c>
      <c r="E61" s="30">
        <v>2303487.96</v>
      </c>
      <c r="F61" s="181">
        <f>E61/D61*100</f>
        <v>104.70399818181816</v>
      </c>
    </row>
    <row r="62" spans="1:6" s="56" customFormat="1" ht="12">
      <c r="A62" s="26"/>
      <c r="B62" s="26"/>
      <c r="C62" s="3" t="s">
        <v>463</v>
      </c>
      <c r="D62" s="32">
        <f>SUM(D57:D61)</f>
        <v>67100000</v>
      </c>
      <c r="E62" s="32">
        <f>SUM(E58:E61)</f>
        <v>82524944.44</v>
      </c>
      <c r="F62" s="182">
        <f>E62/D62*100</f>
        <v>122.98799469448585</v>
      </c>
    </row>
    <row r="63" spans="1:6" s="56" customFormat="1" ht="12">
      <c r="A63" s="27"/>
      <c r="B63" s="28">
        <v>743</v>
      </c>
      <c r="C63" s="169" t="s">
        <v>491</v>
      </c>
      <c r="D63" s="30"/>
      <c r="E63" s="30"/>
      <c r="F63" s="181"/>
    </row>
    <row r="64" spans="1:6" s="56" customFormat="1" ht="12">
      <c r="A64" s="27">
        <f>A61+1</f>
        <v>34</v>
      </c>
      <c r="B64" s="7">
        <v>743324</v>
      </c>
      <c r="C64" s="8" t="s">
        <v>514</v>
      </c>
      <c r="D64" s="30">
        <v>5300000</v>
      </c>
      <c r="E64" s="30">
        <v>4927870.5</v>
      </c>
      <c r="F64" s="181">
        <f>E64/D64*100</f>
        <v>92.97868867924528</v>
      </c>
    </row>
    <row r="65" spans="1:9" s="56" customFormat="1" ht="12">
      <c r="A65" s="27">
        <f>A64+1</f>
        <v>35</v>
      </c>
      <c r="B65" s="7">
        <v>743351</v>
      </c>
      <c r="C65" s="8" t="s">
        <v>515</v>
      </c>
      <c r="D65" s="30">
        <v>1000000</v>
      </c>
      <c r="E65" s="30">
        <v>793000</v>
      </c>
      <c r="F65" s="181">
        <f>E65/D65*100</f>
        <v>79.3</v>
      </c>
      <c r="I65" s="52"/>
    </row>
    <row r="66" spans="1:6" s="56" customFormat="1" ht="12">
      <c r="A66" s="27"/>
      <c r="B66" s="7"/>
      <c r="C66" s="8" t="s">
        <v>516</v>
      </c>
      <c r="D66" s="30"/>
      <c r="E66" s="30"/>
      <c r="F66" s="181"/>
    </row>
    <row r="67" spans="1:6" s="56" customFormat="1" ht="12">
      <c r="A67" s="27"/>
      <c r="B67" s="7"/>
      <c r="C67" s="9" t="s">
        <v>464</v>
      </c>
      <c r="D67" s="30"/>
      <c r="E67" s="30"/>
      <c r="F67" s="181"/>
    </row>
    <row r="68" spans="1:6" s="56" customFormat="1" ht="12">
      <c r="A68" s="27"/>
      <c r="B68" s="7">
        <v>743924</v>
      </c>
      <c r="C68" s="9" t="s">
        <v>490</v>
      </c>
      <c r="D68" s="30"/>
      <c r="E68" s="30">
        <v>18535.82</v>
      </c>
      <c r="F68" s="181"/>
    </row>
    <row r="69" spans="1:6" s="56" customFormat="1" ht="12">
      <c r="A69" s="26"/>
      <c r="B69" s="26"/>
      <c r="C69" s="3" t="s">
        <v>465</v>
      </c>
      <c r="D69" s="4">
        <f>SUM(D64:D67)</f>
        <v>6300000</v>
      </c>
      <c r="E69" s="4">
        <f>SUM(E64:E68)</f>
        <v>5739406.32</v>
      </c>
      <c r="F69" s="182">
        <f>E69/D69*100</f>
        <v>91.10168761904762</v>
      </c>
    </row>
    <row r="70" spans="1:6" s="56" customFormat="1" ht="12">
      <c r="A70" s="27"/>
      <c r="B70" s="2">
        <v>744</v>
      </c>
      <c r="C70" s="5" t="s">
        <v>492</v>
      </c>
      <c r="D70" s="30"/>
      <c r="E70" s="30"/>
      <c r="F70" s="181"/>
    </row>
    <row r="71" spans="1:6" s="56" customFormat="1" ht="12">
      <c r="A71" s="27">
        <f>A65+1</f>
        <v>36</v>
      </c>
      <c r="B71" s="33">
        <v>744151</v>
      </c>
      <c r="C71" s="9" t="s">
        <v>493</v>
      </c>
      <c r="D71" s="30">
        <v>5000000</v>
      </c>
      <c r="E71" s="30">
        <v>1733194.53</v>
      </c>
      <c r="F71" s="181">
        <f>E71/D71*100</f>
        <v>34.6638906</v>
      </c>
    </row>
    <row r="72" spans="1:6" s="56" customFormat="1" ht="12">
      <c r="A72" s="27"/>
      <c r="B72" s="33"/>
      <c r="C72" s="9" t="s">
        <v>517</v>
      </c>
      <c r="D72" s="30"/>
      <c r="E72" s="30"/>
      <c r="F72" s="181"/>
    </row>
    <row r="73" spans="1:6" s="56" customFormat="1" ht="12">
      <c r="A73" s="26"/>
      <c r="B73" s="26"/>
      <c r="C73" s="3" t="s">
        <v>466</v>
      </c>
      <c r="D73" s="4">
        <f>D71</f>
        <v>5000000</v>
      </c>
      <c r="E73" s="4">
        <f>E71</f>
        <v>1733194.53</v>
      </c>
      <c r="F73" s="182">
        <f>E73/D73*100</f>
        <v>34.6638906</v>
      </c>
    </row>
    <row r="74" spans="1:6" s="56" customFormat="1" ht="12">
      <c r="A74" s="27"/>
      <c r="B74" s="28">
        <v>745</v>
      </c>
      <c r="C74" s="169" t="s">
        <v>518</v>
      </c>
      <c r="D74" s="30"/>
      <c r="E74" s="30"/>
      <c r="F74" s="181"/>
    </row>
    <row r="75" spans="1:6" s="56" customFormat="1" ht="12">
      <c r="A75" s="27">
        <f>A71+1</f>
        <v>37</v>
      </c>
      <c r="B75" s="27">
        <v>745150</v>
      </c>
      <c r="C75" s="9" t="s">
        <v>519</v>
      </c>
      <c r="D75" s="30">
        <v>2500000</v>
      </c>
      <c r="E75" s="30">
        <v>2060132.6</v>
      </c>
      <c r="F75" s="181">
        <f>E75/D75*100</f>
        <v>82.405304</v>
      </c>
    </row>
    <row r="76" spans="1:6" s="56" customFormat="1" ht="12">
      <c r="A76" s="26"/>
      <c r="B76" s="26"/>
      <c r="C76" s="3" t="s">
        <v>467</v>
      </c>
      <c r="D76" s="4">
        <f>SUM(D75:D75)</f>
        <v>2500000</v>
      </c>
      <c r="E76" s="4">
        <f>SUM(E75:E75)</f>
        <v>2060132.6</v>
      </c>
      <c r="F76" s="184">
        <f>E76/D76*100</f>
        <v>82.405304</v>
      </c>
    </row>
    <row r="77" spans="1:6" s="56" customFormat="1" ht="12">
      <c r="A77" s="25"/>
      <c r="B77" s="459">
        <v>811</v>
      </c>
      <c r="C77" s="19" t="s">
        <v>449</v>
      </c>
      <c r="D77" s="18"/>
      <c r="E77" s="6"/>
      <c r="F77" s="184"/>
    </row>
    <row r="78" spans="1:6" s="56" customFormat="1" ht="12">
      <c r="A78" s="25">
        <f>+A75+1</f>
        <v>38</v>
      </c>
      <c r="B78" s="25">
        <v>811151</v>
      </c>
      <c r="C78" s="173" t="s">
        <v>520</v>
      </c>
      <c r="D78" s="18">
        <v>150450773</v>
      </c>
      <c r="E78" s="4">
        <v>41166061</v>
      </c>
      <c r="F78" s="182">
        <f>E78/D78*100</f>
        <v>27.361814219459013</v>
      </c>
    </row>
    <row r="79" spans="1:6" s="56" customFormat="1" ht="12">
      <c r="A79" s="26"/>
      <c r="B79" s="26"/>
      <c r="C79" s="48" t="s">
        <v>468</v>
      </c>
      <c r="D79" s="4">
        <f>SUM(D78)</f>
        <v>150450773</v>
      </c>
      <c r="E79" s="4">
        <f>SUM(E78)</f>
        <v>41166061</v>
      </c>
      <c r="F79" s="183">
        <f>E79/D79*100</f>
        <v>27.361814219459013</v>
      </c>
    </row>
    <row r="82" spans="1:6" ht="13.5" thickBot="1">
      <c r="A82" s="322"/>
      <c r="B82" s="77" t="s">
        <v>438</v>
      </c>
      <c r="C82" s="185"/>
      <c r="D82" s="186">
        <f>D76+D73+D69+D62+D55+D44+D38+D35+D32+D23+D15+D79+D86</f>
        <v>823403773</v>
      </c>
      <c r="E82" s="186">
        <f>E76+E73+E69+E62+E55+E44+E38+E35+E32+E23+E15+E79+E18</f>
        <v>701537205.44</v>
      </c>
      <c r="F82" s="531">
        <f>E82/D82*100</f>
        <v>85.1996588361516</v>
      </c>
    </row>
    <row r="83" spans="1:10" s="56" customFormat="1" ht="12.75" thickTop="1">
      <c r="A83" s="33"/>
      <c r="B83" s="5"/>
      <c r="C83" s="49"/>
      <c r="D83" s="178"/>
      <c r="E83" s="178"/>
      <c r="F83" s="181"/>
      <c r="J83" s="67"/>
    </row>
    <row r="84" spans="1:10" s="56" customFormat="1" ht="12">
      <c r="A84" s="33"/>
      <c r="B84" s="5"/>
      <c r="C84" s="49"/>
      <c r="D84" s="178"/>
      <c r="E84" s="178"/>
      <c r="F84" s="181"/>
      <c r="J84" s="67"/>
    </row>
    <row r="85" spans="1:6" s="56" customFormat="1" ht="12">
      <c r="A85" s="24"/>
      <c r="B85" s="24">
        <v>921651</v>
      </c>
      <c r="C85" s="174" t="s">
        <v>483</v>
      </c>
      <c r="D85" s="18">
        <v>0</v>
      </c>
      <c r="E85" s="18">
        <v>44108</v>
      </c>
      <c r="F85" s="182"/>
    </row>
    <row r="86" spans="1:6" s="56" customFormat="1" ht="12">
      <c r="A86" s="26"/>
      <c r="B86" s="26"/>
      <c r="C86" s="48" t="s">
        <v>469</v>
      </c>
      <c r="D86" s="4">
        <f>SUM(D85)</f>
        <v>0</v>
      </c>
      <c r="E86" s="4">
        <f>SUM(E85)</f>
        <v>44108</v>
      </c>
      <c r="F86" s="182"/>
    </row>
    <row r="88" spans="1:10" s="56" customFormat="1" ht="12">
      <c r="A88" s="26">
        <f>+A78+1</f>
        <v>39</v>
      </c>
      <c r="B88" s="26">
        <v>911451</v>
      </c>
      <c r="C88" s="179" t="s">
        <v>484</v>
      </c>
      <c r="D88" s="4">
        <v>68500000</v>
      </c>
      <c r="E88" s="4">
        <v>26000000.2</v>
      </c>
      <c r="F88" s="182">
        <f>+E88/D88*100</f>
        <v>37.956204671532845</v>
      </c>
      <c r="J88" s="67"/>
    </row>
    <row r="89" spans="1:10" s="56" customFormat="1" ht="12" customHeight="1">
      <c r="A89" s="33"/>
      <c r="B89" s="5"/>
      <c r="C89" s="49" t="s">
        <v>470</v>
      </c>
      <c r="D89" s="178"/>
      <c r="E89" s="178"/>
      <c r="F89" s="182"/>
      <c r="J89" s="67"/>
    </row>
    <row r="90" spans="1:10" s="56" customFormat="1" ht="12.75" thickBot="1">
      <c r="A90" s="175"/>
      <c r="B90" s="176" t="s">
        <v>438</v>
      </c>
      <c r="C90" s="177"/>
      <c r="D90" s="50">
        <f>+D88+D82</f>
        <v>891903773</v>
      </c>
      <c r="E90" s="50">
        <f>+E88+E82+E86</f>
        <v>727581313.6400001</v>
      </c>
      <c r="F90" s="397">
        <f>E90/D90*100</f>
        <v>81.5762121055631</v>
      </c>
      <c r="J90" s="67"/>
    </row>
    <row r="91" spans="5:10" ht="12.75">
      <c r="E91" s="398"/>
      <c r="J91" s="496"/>
    </row>
    <row r="92" spans="5:10" ht="12.75">
      <c r="E92" s="398"/>
      <c r="J92" s="496"/>
    </row>
    <row r="93" spans="5:10" ht="12.75">
      <c r="E93" s="75"/>
      <c r="F93" s="75"/>
      <c r="G93" s="54"/>
      <c r="H93" s="54"/>
      <c r="J93" s="496"/>
    </row>
    <row r="94" spans="5:10" ht="12.75">
      <c r="E94" s="75"/>
      <c r="F94" s="75"/>
      <c r="G94" s="54"/>
      <c r="H94" s="54"/>
      <c r="J94" s="496"/>
    </row>
    <row r="95" spans="5:10" ht="12.75">
      <c r="E95" s="75"/>
      <c r="F95" s="75"/>
      <c r="G95" s="54"/>
      <c r="H95" s="54"/>
      <c r="J95" s="54"/>
    </row>
    <row r="96" spans="5:10" ht="12.75">
      <c r="E96" s="398"/>
      <c r="F96" s="75"/>
      <c r="G96" s="54"/>
      <c r="H96" s="54"/>
      <c r="J96" s="496"/>
    </row>
    <row r="97" spans="5:10" ht="12.75">
      <c r="E97" s="398"/>
      <c r="F97" s="75"/>
      <c r="G97" s="54"/>
      <c r="H97" s="54"/>
      <c r="J97" s="496"/>
    </row>
    <row r="98" spans="4:11" ht="12.75">
      <c r="D98" s="398"/>
      <c r="E98" s="398"/>
      <c r="F98" s="398"/>
      <c r="G98" s="496"/>
      <c r="H98" s="496"/>
      <c r="I98" s="496"/>
      <c r="J98" s="496"/>
      <c r="K98" s="496"/>
    </row>
    <row r="99" spans="4:11" ht="12.75">
      <c r="D99" s="398"/>
      <c r="E99" s="398"/>
      <c r="F99" s="398"/>
      <c r="G99" s="496"/>
      <c r="H99" s="496"/>
      <c r="I99" s="496"/>
      <c r="J99" s="496"/>
      <c r="K99" s="496"/>
    </row>
    <row r="100" spans="4:11" ht="12.75">
      <c r="D100" s="398"/>
      <c r="E100" s="398"/>
      <c r="F100" s="398"/>
      <c r="G100" s="496"/>
      <c r="H100" s="496"/>
      <c r="I100" s="496"/>
      <c r="J100" s="496"/>
      <c r="K100" s="496"/>
    </row>
    <row r="101" spans="4:11" ht="12.75">
      <c r="D101" s="398"/>
      <c r="E101" s="398"/>
      <c r="F101" s="398"/>
      <c r="G101" s="496"/>
      <c r="H101" s="496"/>
      <c r="I101" s="496"/>
      <c r="J101" s="496"/>
      <c r="K101" s="496"/>
    </row>
    <row r="102" spans="4:11" ht="12.75">
      <c r="D102" s="398"/>
      <c r="E102" s="398"/>
      <c r="F102" s="398"/>
      <c r="G102" s="496"/>
      <c r="H102" s="496"/>
      <c r="I102" s="496"/>
      <c r="J102" s="496"/>
      <c r="K102" s="496"/>
    </row>
    <row r="103" spans="4:11" ht="12.75">
      <c r="D103" s="398"/>
      <c r="E103" s="398"/>
      <c r="F103" s="398"/>
      <c r="G103" s="496"/>
      <c r="H103" s="496"/>
      <c r="I103" s="496"/>
      <c r="J103" s="496"/>
      <c r="K103" s="496"/>
    </row>
    <row r="104" spans="4:11" ht="12.75">
      <c r="D104" s="398"/>
      <c r="E104" s="398"/>
      <c r="F104" s="398"/>
      <c r="G104" s="496"/>
      <c r="H104" s="496"/>
      <c r="I104" s="496"/>
      <c r="J104" s="496"/>
      <c r="K104" s="496"/>
    </row>
    <row r="105" spans="4:11" ht="12.75">
      <c r="D105" s="398"/>
      <c r="E105" s="398"/>
      <c r="F105" s="398"/>
      <c r="G105" s="496"/>
      <c r="H105" s="496"/>
      <c r="I105" s="496"/>
      <c r="J105" s="496"/>
      <c r="K105" s="496"/>
    </row>
    <row r="106" spans="4:11" ht="12.75">
      <c r="D106" s="398"/>
      <c r="E106" s="398"/>
      <c r="F106" s="398"/>
      <c r="G106" s="496"/>
      <c r="H106" s="496"/>
      <c r="I106" s="496"/>
      <c r="J106" s="496"/>
      <c r="K106" s="496"/>
    </row>
    <row r="107" spans="4:11" ht="12.75">
      <c r="D107" s="398"/>
      <c r="E107" s="398"/>
      <c r="F107" s="398"/>
      <c r="G107" s="496"/>
      <c r="H107" s="496"/>
      <c r="I107" s="496"/>
      <c r="J107" s="496"/>
      <c r="K107" s="496"/>
    </row>
    <row r="108" spans="4:11" ht="12.75">
      <c r="D108" s="398"/>
      <c r="E108" s="398"/>
      <c r="F108" s="398"/>
      <c r="G108" s="496"/>
      <c r="H108" s="496"/>
      <c r="I108" s="496"/>
      <c r="J108" s="496"/>
      <c r="K108" s="496"/>
    </row>
    <row r="109" spans="4:11" ht="12.75">
      <c r="D109" s="398"/>
      <c r="E109" s="398"/>
      <c r="F109" s="398"/>
      <c r="G109" s="496"/>
      <c r="H109" s="496"/>
      <c r="I109" s="496"/>
      <c r="J109" s="496"/>
      <c r="K109" s="496"/>
    </row>
    <row r="110" spans="4:11" ht="12.75">
      <c r="D110" s="398"/>
      <c r="E110" s="398"/>
      <c r="F110" s="398"/>
      <c r="G110" s="496"/>
      <c r="H110" s="496"/>
      <c r="I110" s="496"/>
      <c r="J110" s="496"/>
      <c r="K110" s="496"/>
    </row>
    <row r="111" spans="5:8" ht="12.75">
      <c r="E111" s="398"/>
      <c r="F111" s="398"/>
      <c r="G111" s="496"/>
      <c r="H111" s="496"/>
    </row>
    <row r="112" spans="5:8" ht="12.75">
      <c r="E112" s="398"/>
      <c r="F112" s="398"/>
      <c r="G112" s="496"/>
      <c r="H112" s="496"/>
    </row>
    <row r="113" spans="5:8" ht="12.75">
      <c r="E113" s="398"/>
      <c r="F113" s="398"/>
      <c r="G113" s="496"/>
      <c r="H113" s="496"/>
    </row>
    <row r="114" spans="5:8" ht="12.75">
      <c r="E114" s="398"/>
      <c r="F114" s="398"/>
      <c r="G114" s="496"/>
      <c r="H114" s="496"/>
    </row>
  </sheetData>
  <sheetProtection/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K1327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5.140625" style="66" customWidth="1"/>
    <col min="2" max="2" width="6.140625" style="66" customWidth="1"/>
    <col min="3" max="3" width="5.57421875" style="66" customWidth="1"/>
    <col min="4" max="4" width="6.8515625" style="66" customWidth="1"/>
    <col min="5" max="5" width="9.7109375" style="66" customWidth="1"/>
    <col min="6" max="6" width="7.7109375" style="97" customWidth="1"/>
    <col min="7" max="7" width="37.57421875" style="66" customWidth="1"/>
    <col min="8" max="8" width="12.28125" style="66" customWidth="1"/>
    <col min="9" max="9" width="12.421875" style="66" customWidth="1"/>
    <col min="10" max="11" width="12.140625" style="67" customWidth="1"/>
    <col min="12" max="12" width="12.8515625" style="66" customWidth="1"/>
    <col min="13" max="14" width="11.57421875" style="66" customWidth="1"/>
    <col min="15" max="15" width="11.28125" style="66" customWidth="1"/>
    <col min="16" max="16" width="12.140625" style="66" customWidth="1"/>
    <col min="17" max="17" width="12.140625" style="66" hidden="1" customWidth="1"/>
    <col min="18" max="18" width="12.00390625" style="181" bestFit="1" customWidth="1"/>
    <col min="19" max="19" width="11.00390625" style="66" customWidth="1"/>
    <col min="20" max="20" width="11.8515625" style="66" customWidth="1"/>
    <col min="21" max="21" width="12.00390625" style="66" customWidth="1"/>
    <col min="22" max="22" width="10.57421875" style="66" customWidth="1"/>
    <col min="23" max="24" width="9.140625" style="66" customWidth="1"/>
    <col min="25" max="27" width="10.421875" style="66" customWidth="1"/>
    <col min="28" max="28" width="10.140625" style="66" customWidth="1"/>
    <col min="29" max="29" width="9.57421875" style="66" customWidth="1"/>
    <col min="30" max="30" width="10.421875" style="66" customWidth="1"/>
    <col min="31" max="49" width="9.140625" style="66" customWidth="1"/>
    <col min="50" max="50" width="10.8515625" style="66" bestFit="1" customWidth="1"/>
    <col min="51" max="16384" width="9.140625" style="66" customWidth="1"/>
  </cols>
  <sheetData>
    <row r="1" ht="12"/>
    <row r="2" spans="13:17" ht="12.75" customHeight="1" hidden="1">
      <c r="M2" s="72" t="s">
        <v>362</v>
      </c>
      <c r="N2" s="72"/>
      <c r="O2" s="74">
        <f>+('Tab prihodi'!E90+'Tab prihodi'!D7)-('Tabelarni deo rashodi'!M1129+'Tabelarni deo rashodi'!O1129+'Tabelarni deo rashodi'!P1129)+11038.22</f>
        <v>41247498.19000003</v>
      </c>
      <c r="P2" s="52"/>
      <c r="Q2" s="52"/>
    </row>
    <row r="3" spans="1:17" ht="12">
      <c r="A3" s="72" t="s">
        <v>954</v>
      </c>
      <c r="O3" s="52"/>
      <c r="P3" s="52"/>
      <c r="Q3" s="67"/>
    </row>
    <row r="4" spans="1:22" ht="12">
      <c r="A4" s="49" t="s">
        <v>526</v>
      </c>
      <c r="B4" s="49"/>
      <c r="C4" s="49"/>
      <c r="D4" s="49"/>
      <c r="E4" s="9"/>
      <c r="F4" s="95"/>
      <c r="G4" s="9"/>
      <c r="H4" s="404"/>
      <c r="O4" s="52"/>
      <c r="Q4" s="52"/>
      <c r="V4" s="66" t="s">
        <v>440</v>
      </c>
    </row>
    <row r="5" spans="1:17" ht="12">
      <c r="A5" s="9" t="s">
        <v>137</v>
      </c>
      <c r="B5" s="9"/>
      <c r="C5" s="9"/>
      <c r="D5" s="9"/>
      <c r="E5" s="9"/>
      <c r="F5" s="95"/>
      <c r="G5" s="9"/>
      <c r="H5" s="30"/>
      <c r="Q5" s="52"/>
    </row>
    <row r="6" spans="1:17" ht="12">
      <c r="A6" s="9"/>
      <c r="B6" s="9"/>
      <c r="C6" s="9"/>
      <c r="D6" s="9"/>
      <c r="E6" s="9"/>
      <c r="F6" s="95"/>
      <c r="G6" s="9"/>
      <c r="H6" s="8"/>
      <c r="O6" s="52"/>
      <c r="Q6" s="67"/>
    </row>
    <row r="7" spans="1:28" ht="12">
      <c r="A7" s="24" t="s">
        <v>399</v>
      </c>
      <c r="B7" s="24"/>
      <c r="C7" s="24"/>
      <c r="D7" s="24" t="s">
        <v>447</v>
      </c>
      <c r="E7" s="34"/>
      <c r="F7" s="96"/>
      <c r="G7" s="24"/>
      <c r="H7" s="11" t="s">
        <v>450</v>
      </c>
      <c r="I7" s="11" t="s">
        <v>271</v>
      </c>
      <c r="J7" s="11" t="s">
        <v>271</v>
      </c>
      <c r="K7" s="11" t="s">
        <v>523</v>
      </c>
      <c r="L7" s="46" t="s">
        <v>272</v>
      </c>
      <c r="M7" s="385" t="s">
        <v>527</v>
      </c>
      <c r="N7" s="385" t="s">
        <v>528</v>
      </c>
      <c r="O7" s="385" t="s">
        <v>528</v>
      </c>
      <c r="P7" s="385" t="s">
        <v>528</v>
      </c>
      <c r="Q7" s="524"/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spans="1:28" ht="12.75" customHeight="1">
      <c r="A8" s="33" t="s">
        <v>400</v>
      </c>
      <c r="B8" s="33"/>
      <c r="C8" s="33"/>
      <c r="D8" s="9"/>
      <c r="G8" s="20" t="s">
        <v>525</v>
      </c>
      <c r="H8" s="41">
        <v>2014</v>
      </c>
      <c r="I8" s="33" t="s">
        <v>276</v>
      </c>
      <c r="J8" s="33" t="s">
        <v>277</v>
      </c>
      <c r="K8" s="33" t="s">
        <v>524</v>
      </c>
      <c r="L8" s="73" t="s">
        <v>279</v>
      </c>
      <c r="M8" s="138" t="s">
        <v>73</v>
      </c>
      <c r="N8" s="138" t="s">
        <v>522</v>
      </c>
      <c r="O8" s="138" t="s">
        <v>277</v>
      </c>
      <c r="P8" s="138" t="s">
        <v>521</v>
      </c>
      <c r="Q8" s="524"/>
      <c r="S8" s="97"/>
      <c r="T8" s="97"/>
      <c r="U8" s="97"/>
      <c r="V8" s="97"/>
      <c r="W8" s="97"/>
      <c r="X8" s="97"/>
      <c r="Y8" s="97"/>
      <c r="Z8" s="97"/>
      <c r="AA8" s="97"/>
      <c r="AB8" s="97"/>
    </row>
    <row r="9" spans="1:28" ht="12">
      <c r="A9" s="25"/>
      <c r="B9" s="25"/>
      <c r="C9" s="25"/>
      <c r="D9" s="22"/>
      <c r="E9" s="22"/>
      <c r="F9" s="98"/>
      <c r="G9" s="22"/>
      <c r="H9" s="21"/>
      <c r="I9" s="17" t="s">
        <v>57</v>
      </c>
      <c r="J9" s="17"/>
      <c r="K9" s="17" t="s">
        <v>58</v>
      </c>
      <c r="L9" s="76" t="s">
        <v>67</v>
      </c>
      <c r="M9" s="402" t="str">
        <f>+V4</f>
        <v>31.12.2014.г.</v>
      </c>
      <c r="N9" s="76" t="s">
        <v>57</v>
      </c>
      <c r="O9" s="402" t="str">
        <f>+V4</f>
        <v>31.12.2014.г.</v>
      </c>
      <c r="P9" s="402" t="str">
        <f>+V4</f>
        <v>31.12.2014.г.</v>
      </c>
      <c r="Q9" s="403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17" ht="12">
      <c r="A10" s="26">
        <v>1</v>
      </c>
      <c r="B10" s="26"/>
      <c r="C10" s="26"/>
      <c r="D10" s="26">
        <v>2</v>
      </c>
      <c r="E10" s="180"/>
      <c r="F10" s="99"/>
      <c r="G10" s="29">
        <v>3</v>
      </c>
      <c r="H10" s="26">
        <v>4</v>
      </c>
      <c r="I10" s="405">
        <v>5</v>
      </c>
      <c r="J10" s="405">
        <v>6</v>
      </c>
      <c r="K10" s="405">
        <v>7</v>
      </c>
      <c r="L10" s="44">
        <v>8</v>
      </c>
      <c r="M10" s="44">
        <v>9</v>
      </c>
      <c r="N10" s="44">
        <v>10</v>
      </c>
      <c r="O10" s="44">
        <v>11</v>
      </c>
      <c r="P10" s="44">
        <v>12</v>
      </c>
      <c r="Q10" s="73"/>
    </row>
    <row r="11" spans="1:22" ht="12">
      <c r="A11" s="27"/>
      <c r="B11" s="27"/>
      <c r="C11" s="27"/>
      <c r="D11" s="28">
        <v>400</v>
      </c>
      <c r="E11" s="35" t="s">
        <v>545</v>
      </c>
      <c r="F11" s="100"/>
      <c r="G11" s="35"/>
      <c r="H11" s="404">
        <f>H778</f>
        <v>2100000</v>
      </c>
      <c r="I11" s="404">
        <f>I778</f>
        <v>0</v>
      </c>
      <c r="J11" s="404">
        <f>+J576+J778</f>
        <v>0</v>
      </c>
      <c r="K11" s="404"/>
      <c r="L11" s="404">
        <f>L778</f>
        <v>2100000</v>
      </c>
      <c r="M11" s="404">
        <f>M778</f>
        <v>984977.28</v>
      </c>
      <c r="N11" s="404">
        <f>N778</f>
        <v>0</v>
      </c>
      <c r="O11" s="404">
        <f>O778</f>
        <v>0</v>
      </c>
      <c r="P11" s="404">
        <f>+P576+P778</f>
        <v>0</v>
      </c>
      <c r="U11" s="52"/>
      <c r="V11" s="52"/>
    </row>
    <row r="12" spans="1:22" ht="12">
      <c r="A12" s="27"/>
      <c r="B12" s="27"/>
      <c r="C12" s="27"/>
      <c r="D12" s="28">
        <v>410</v>
      </c>
      <c r="E12" s="69" t="s">
        <v>546</v>
      </c>
      <c r="F12" s="101"/>
      <c r="G12" s="69"/>
      <c r="H12" s="406">
        <f aca="true" t="shared" si="0" ref="H12:P12">H13+H14+H15+H16+H17+H18+H19</f>
        <v>247125346</v>
      </c>
      <c r="I12" s="406">
        <f t="shared" si="0"/>
        <v>28941521</v>
      </c>
      <c r="J12" s="406">
        <f t="shared" si="0"/>
        <v>10400000</v>
      </c>
      <c r="K12" s="406">
        <f t="shared" si="0"/>
        <v>0</v>
      </c>
      <c r="L12" s="406">
        <f t="shared" si="0"/>
        <v>286466867</v>
      </c>
      <c r="M12" s="406">
        <f t="shared" si="0"/>
        <v>238301564.6</v>
      </c>
      <c r="N12" s="406">
        <f t="shared" si="0"/>
        <v>24517388.69</v>
      </c>
      <c r="O12" s="406">
        <f t="shared" si="0"/>
        <v>3422428.42</v>
      </c>
      <c r="P12" s="406">
        <f t="shared" si="0"/>
        <v>0</v>
      </c>
      <c r="Q12" s="74"/>
      <c r="U12" s="52"/>
      <c r="V12" s="52"/>
    </row>
    <row r="13" spans="1:22" ht="12">
      <c r="A13" s="27">
        <v>1</v>
      </c>
      <c r="B13" s="27"/>
      <c r="C13" s="27"/>
      <c r="D13" s="27">
        <v>411</v>
      </c>
      <c r="E13" s="8" t="s">
        <v>550</v>
      </c>
      <c r="F13" s="102"/>
      <c r="G13" s="8"/>
      <c r="H13" s="30">
        <f aca="true" t="shared" si="1" ref="H13:P13">+H88+H122+H174+H202+H595+H629+H659+H690+H721+H752</f>
        <v>189781760</v>
      </c>
      <c r="I13" s="30">
        <f t="shared" si="1"/>
        <v>22401050</v>
      </c>
      <c r="J13" s="30">
        <f t="shared" si="1"/>
        <v>0</v>
      </c>
      <c r="K13" s="30">
        <f t="shared" si="1"/>
        <v>0</v>
      </c>
      <c r="L13" s="30">
        <f t="shared" si="1"/>
        <v>212182810</v>
      </c>
      <c r="M13" s="30">
        <f t="shared" si="1"/>
        <v>185116997.74</v>
      </c>
      <c r="N13" s="30">
        <f t="shared" si="1"/>
        <v>19545005.3</v>
      </c>
      <c r="O13" s="30">
        <f t="shared" si="1"/>
        <v>0</v>
      </c>
      <c r="P13" s="30">
        <f t="shared" si="1"/>
        <v>0</v>
      </c>
      <c r="Q13" s="52"/>
      <c r="U13" s="52"/>
      <c r="V13" s="52"/>
    </row>
    <row r="14" spans="1:22" ht="12">
      <c r="A14" s="27">
        <f aca="true" t="shared" si="2" ref="A14:A19">A13+1</f>
        <v>2</v>
      </c>
      <c r="B14" s="27"/>
      <c r="C14" s="27"/>
      <c r="D14" s="27">
        <v>412</v>
      </c>
      <c r="E14" s="8" t="s">
        <v>551</v>
      </c>
      <c r="F14" s="102"/>
      <c r="G14" s="8"/>
      <c r="H14" s="30">
        <f aca="true" t="shared" si="3" ref="H14:P14">+H89+H123+H175+H203+H596+H630+H660+H691+H722+H753</f>
        <v>34370713</v>
      </c>
      <c r="I14" s="30">
        <f t="shared" si="3"/>
        <v>4079471</v>
      </c>
      <c r="J14" s="30">
        <f t="shared" si="3"/>
        <v>0</v>
      </c>
      <c r="K14" s="30">
        <f t="shared" si="3"/>
        <v>0</v>
      </c>
      <c r="L14" s="30">
        <f t="shared" si="3"/>
        <v>38450184</v>
      </c>
      <c r="M14" s="30">
        <f t="shared" si="3"/>
        <v>33012020.59</v>
      </c>
      <c r="N14" s="30">
        <f t="shared" si="3"/>
        <v>3508860</v>
      </c>
      <c r="O14" s="30">
        <f t="shared" si="3"/>
        <v>0</v>
      </c>
      <c r="P14" s="30">
        <f t="shared" si="3"/>
        <v>0</v>
      </c>
      <c r="Q14" s="52"/>
      <c r="U14" s="52"/>
      <c r="V14" s="52"/>
    </row>
    <row r="15" spans="1:22" ht="12">
      <c r="A15" s="27">
        <f t="shared" si="2"/>
        <v>3</v>
      </c>
      <c r="B15" s="27"/>
      <c r="C15" s="27"/>
      <c r="D15" s="27">
        <v>413</v>
      </c>
      <c r="E15" s="8" t="s">
        <v>537</v>
      </c>
      <c r="F15" s="102"/>
      <c r="G15" s="8"/>
      <c r="H15" s="30">
        <f>+H597+H631+H661+H204</f>
        <v>770000</v>
      </c>
      <c r="I15" s="30">
        <f>+I597+I631+I661+I204</f>
        <v>175000</v>
      </c>
      <c r="J15" s="30">
        <f aca="true" t="shared" si="4" ref="J15:P15">+J597+J631+J661+J204</f>
        <v>0</v>
      </c>
      <c r="K15" s="30">
        <f t="shared" si="4"/>
        <v>0</v>
      </c>
      <c r="L15" s="30">
        <f>+L597+L631+L661+L204</f>
        <v>945000</v>
      </c>
      <c r="M15" s="519">
        <f t="shared" si="4"/>
        <v>183650</v>
      </c>
      <c r="N15" s="519">
        <f t="shared" si="4"/>
        <v>34319</v>
      </c>
      <c r="O15" s="519">
        <f>+O597+O631+O661+O204</f>
        <v>0</v>
      </c>
      <c r="P15" s="30">
        <f t="shared" si="4"/>
        <v>0</v>
      </c>
      <c r="Q15" s="52"/>
      <c r="U15" s="52"/>
      <c r="V15" s="52"/>
    </row>
    <row r="16" spans="1:22" ht="12">
      <c r="A16" s="27">
        <f t="shared" si="2"/>
        <v>4</v>
      </c>
      <c r="B16" s="27"/>
      <c r="C16" s="27"/>
      <c r="D16" s="27">
        <v>414</v>
      </c>
      <c r="E16" s="8" t="s">
        <v>552</v>
      </c>
      <c r="F16" s="102"/>
      <c r="G16" s="8"/>
      <c r="H16" s="30">
        <f>H90+H124+H176+H205+H598+H632+H662+H692+H723+H754</f>
        <v>7806000</v>
      </c>
      <c r="I16" s="30">
        <f>I90+I124+I176+I205+I598+I632+I662+I692+I723+I754</f>
        <v>773000</v>
      </c>
      <c r="J16" s="30">
        <f aca="true" t="shared" si="5" ref="J16:P16">J90+J124+J176+J205+J598+J632+J662+J692+J723+J754</f>
        <v>8900000</v>
      </c>
      <c r="K16" s="30">
        <f t="shared" si="5"/>
        <v>0</v>
      </c>
      <c r="L16" s="30">
        <f>L90+L124+L176+L205+L598+L632+L662+L692+L723+L754</f>
        <v>17479000</v>
      </c>
      <c r="M16" s="30">
        <f t="shared" si="5"/>
        <v>7463810.69</v>
      </c>
      <c r="N16" s="30">
        <f t="shared" si="5"/>
        <v>477100</v>
      </c>
      <c r="O16" s="30">
        <f>O90+O124+O176+O205+O598+O632+O662+O692+O723+O754</f>
        <v>1922428.42</v>
      </c>
      <c r="P16" s="30">
        <f t="shared" si="5"/>
        <v>0</v>
      </c>
      <c r="Q16" s="52"/>
      <c r="U16" s="52"/>
      <c r="V16" s="52"/>
    </row>
    <row r="17" spans="1:22" ht="12">
      <c r="A17" s="27">
        <f t="shared" si="2"/>
        <v>5</v>
      </c>
      <c r="B17" s="27"/>
      <c r="C17" s="27"/>
      <c r="D17" s="27">
        <v>415</v>
      </c>
      <c r="E17" s="8" t="s">
        <v>565</v>
      </c>
      <c r="F17" s="102"/>
      <c r="G17" s="8"/>
      <c r="H17" s="30">
        <f>+H177+H206+H599+H663+H693+H724+H755</f>
        <v>3993000</v>
      </c>
      <c r="I17" s="30">
        <f>+I177+I206+I599+I663+I693+I724+I755</f>
        <v>1030000</v>
      </c>
      <c r="J17" s="30">
        <f aca="true" t="shared" si="6" ref="J17:P17">+J177+J206+J599+J663+J693+J724+J755</f>
        <v>0</v>
      </c>
      <c r="K17" s="30">
        <f t="shared" si="6"/>
        <v>0</v>
      </c>
      <c r="L17" s="30">
        <f>+L177+L206+L599+L663+L693+L724+L755</f>
        <v>5023000</v>
      </c>
      <c r="M17" s="30">
        <f t="shared" si="6"/>
        <v>3420419.48</v>
      </c>
      <c r="N17" s="30">
        <f t="shared" si="6"/>
        <v>741163.3</v>
      </c>
      <c r="O17" s="30">
        <f>+O177+O206+O599+O663+O693+O724+O755</f>
        <v>0</v>
      </c>
      <c r="P17" s="30">
        <f t="shared" si="6"/>
        <v>0</v>
      </c>
      <c r="Q17" s="52"/>
      <c r="U17" s="52"/>
      <c r="V17" s="52"/>
    </row>
    <row r="18" spans="1:22" ht="12">
      <c r="A18" s="27">
        <f t="shared" si="2"/>
        <v>6</v>
      </c>
      <c r="B18" s="27"/>
      <c r="C18" s="27"/>
      <c r="D18" s="27">
        <v>416</v>
      </c>
      <c r="E18" s="8" t="s">
        <v>547</v>
      </c>
      <c r="F18" s="102"/>
      <c r="G18" s="8"/>
      <c r="H18" s="30">
        <f>+H92+H125+H127+H178+H207+H600+H633+H664+H694+H725+H756+H126</f>
        <v>5443873</v>
      </c>
      <c r="I18" s="30">
        <f>+I92+I125+I127+I178+I207+I600+I633+I664+I694+I725+I756+I126</f>
        <v>483000</v>
      </c>
      <c r="J18" s="30">
        <f aca="true" t="shared" si="7" ref="J18:P18">+J92+J125+J127+J178+J207+J600+J633+J664+J694+J725+J756+J126</f>
        <v>0</v>
      </c>
      <c r="K18" s="30">
        <f t="shared" si="7"/>
        <v>0</v>
      </c>
      <c r="L18" s="30">
        <f>+L92+L125+L127+L178+L207+L600+L633+L664+L694+L725+L756+L126</f>
        <v>5926873</v>
      </c>
      <c r="M18" s="519">
        <f t="shared" si="7"/>
        <v>4135307.0999999996</v>
      </c>
      <c r="N18" s="519">
        <f t="shared" si="7"/>
        <v>210941.09</v>
      </c>
      <c r="O18" s="519">
        <f>+O92+O125+O127+O178+O207+O600+O633+O664+O694+O725+O756+O126</f>
        <v>0</v>
      </c>
      <c r="P18" s="30">
        <f t="shared" si="7"/>
        <v>0</v>
      </c>
      <c r="Q18" s="52"/>
      <c r="U18" s="52"/>
      <c r="V18" s="52"/>
    </row>
    <row r="19" spans="1:22" ht="12">
      <c r="A19" s="27">
        <f t="shared" si="2"/>
        <v>7</v>
      </c>
      <c r="B19" s="27"/>
      <c r="C19" s="27"/>
      <c r="D19" s="27">
        <v>4171</v>
      </c>
      <c r="E19" s="8" t="s">
        <v>564</v>
      </c>
      <c r="F19" s="102"/>
      <c r="G19" s="8"/>
      <c r="H19" s="30">
        <f>+H91</f>
        <v>4960000</v>
      </c>
      <c r="I19" s="30">
        <f>+I91</f>
        <v>0</v>
      </c>
      <c r="J19" s="30">
        <f aca="true" t="shared" si="8" ref="J19:P19">+J91</f>
        <v>1500000</v>
      </c>
      <c r="K19" s="30">
        <f t="shared" si="8"/>
        <v>0</v>
      </c>
      <c r="L19" s="30">
        <f>+L91</f>
        <v>6460000</v>
      </c>
      <c r="M19" s="30">
        <f>+M91</f>
        <v>4969359</v>
      </c>
      <c r="N19" s="30">
        <f>+N91</f>
        <v>0</v>
      </c>
      <c r="O19" s="30">
        <f>+O91</f>
        <v>1500000</v>
      </c>
      <c r="P19" s="30">
        <f t="shared" si="8"/>
        <v>0</v>
      </c>
      <c r="Q19" s="52"/>
      <c r="U19" s="52"/>
      <c r="V19" s="52"/>
    </row>
    <row r="20" spans="1:22" ht="12">
      <c r="A20" s="22"/>
      <c r="B20" s="22"/>
      <c r="C20" s="22"/>
      <c r="D20" s="25"/>
      <c r="E20" s="22" t="s">
        <v>548</v>
      </c>
      <c r="F20" s="98"/>
      <c r="G20" s="22"/>
      <c r="H20" s="407"/>
      <c r="I20" s="407"/>
      <c r="J20" s="407"/>
      <c r="K20" s="407"/>
      <c r="L20" s="407"/>
      <c r="M20" s="53"/>
      <c r="N20" s="53"/>
      <c r="O20" s="53"/>
      <c r="P20" s="53"/>
      <c r="Q20" s="62"/>
      <c r="U20" s="52"/>
      <c r="V20" s="52"/>
    </row>
    <row r="21" spans="1:22" ht="12">
      <c r="A21" s="27">
        <f>A19+1</f>
        <v>8</v>
      </c>
      <c r="B21" s="27"/>
      <c r="C21" s="27"/>
      <c r="D21" s="28">
        <v>420</v>
      </c>
      <c r="E21" s="69" t="s">
        <v>566</v>
      </c>
      <c r="F21" s="101"/>
      <c r="G21" s="69"/>
      <c r="H21" s="406">
        <f>H22+H23+H24+H25+H26+H27+H28+H29+H30+H275+H106</f>
        <v>270269687</v>
      </c>
      <c r="I21" s="406">
        <f>I22+I23+I24+I25+I26+I27+I28+I29+I30+I275+I106</f>
        <v>30683438</v>
      </c>
      <c r="J21" s="406">
        <f>J22+J23+J24+J25+J26+J27+J28+J29+J30+J275</f>
        <v>16714394</v>
      </c>
      <c r="K21" s="406">
        <f>K22+K23+K24+K25+K26+K27+K28+K29+K30+K275</f>
        <v>0</v>
      </c>
      <c r="L21" s="406">
        <f>L22+L23+L24+L25+L26+L27+L28+L29+L30+L275+L106</f>
        <v>317667519</v>
      </c>
      <c r="M21" s="406">
        <f>M22+M23+M24+M25+M26+M27+M28+M29+M30+M275+M106</f>
        <v>209057244.04999998</v>
      </c>
      <c r="N21" s="406">
        <f>N22+N23+N24+N25+N26+N27+N28+N29+N30+N275+N106</f>
        <v>13422261.929999998</v>
      </c>
      <c r="O21" s="406">
        <f>O22+O23+O24+O25+O26+O27+O28+O29+O30+O275+O106</f>
        <v>13038434.1</v>
      </c>
      <c r="P21" s="406">
        <f>P22+P23+P24+P25+P26+P27+P28+P29+P30+P275</f>
        <v>0</v>
      </c>
      <c r="Q21" s="74"/>
      <c r="U21" s="52"/>
      <c r="V21" s="52"/>
    </row>
    <row r="22" spans="1:22" ht="12">
      <c r="A22" s="27">
        <f>A21+1</f>
        <v>9</v>
      </c>
      <c r="B22" s="27"/>
      <c r="C22" s="27"/>
      <c r="D22" s="27">
        <v>421</v>
      </c>
      <c r="E22" s="8" t="s">
        <v>567</v>
      </c>
      <c r="F22" s="102"/>
      <c r="G22" s="8"/>
      <c r="H22" s="30">
        <f>+H94+H129+H179+H208+H601+H634+H665+H695+H726+H757+H818+H842+H860+H882+H902+H920+H939+H961+H983+H999+H1016+H555</f>
        <v>58393267</v>
      </c>
      <c r="I22" s="30">
        <f>+I94+I129+I179+I208+I601+I634+I665+I695+I726+I757+I818+I842+I860+I882+I902+I920+I939+I961+I983+I999+I1016+I555</f>
        <v>5710000</v>
      </c>
      <c r="J22" s="30">
        <f aca="true" t="shared" si="9" ref="J22:P22">+J94+J129+J179+J208+J601+J634+J665+J695+J726+J757+J818+J842+J860+J882+J902+J920+J939+J961+J983+J999+J1016+J555</f>
        <v>554</v>
      </c>
      <c r="K22" s="30">
        <f t="shared" si="9"/>
        <v>0</v>
      </c>
      <c r="L22" s="30">
        <f>+L94+L129+L179+L208+L601+L634+L665+L695+L726+L757+L818+L842+L860+L882+L902+L920+L939+L961+L983+L999+L1016+L555</f>
        <v>64103821</v>
      </c>
      <c r="M22" s="30">
        <f>+M94+M129+M179+M208+M601+M634+M665+M695+M726+M757+M818+M842+M860+M882+M902+M920+M939+M961+M983+M999+M1016+M555</f>
        <v>49919372.64</v>
      </c>
      <c r="N22" s="30">
        <f>+N94+N129+N179+N208+N601+N634+N665+N695+N726+N757+N818+N842+N860+N882+N902+N920+N939+N961+N983+N999+N1016+N555</f>
        <v>1684459.52</v>
      </c>
      <c r="O22" s="30">
        <f>+O94+O129+O179+O208+O601+O634+O665+O695+O726+O757+O818+O842+O860+O882+O902+O920+O939+O961+O983+O999+O1016+O555</f>
        <v>28800</v>
      </c>
      <c r="P22" s="30">
        <f t="shared" si="9"/>
        <v>0</v>
      </c>
      <c r="Q22" s="52"/>
      <c r="U22" s="52"/>
      <c r="V22" s="52"/>
    </row>
    <row r="23" spans="1:22" ht="12">
      <c r="A23" s="27">
        <f aca="true" t="shared" si="10" ref="A23:A30">A22+1</f>
        <v>10</v>
      </c>
      <c r="B23" s="27"/>
      <c r="C23" s="27"/>
      <c r="D23" s="27">
        <v>4212</v>
      </c>
      <c r="E23" s="8" t="s">
        <v>538</v>
      </c>
      <c r="F23" s="102"/>
      <c r="G23" s="8"/>
      <c r="H23" s="30">
        <f aca="true" t="shared" si="11" ref="H23:O23">+H271</f>
        <v>28000000</v>
      </c>
      <c r="I23" s="30">
        <f t="shared" si="11"/>
        <v>0</v>
      </c>
      <c r="J23" s="30">
        <f t="shared" si="11"/>
        <v>4754428</v>
      </c>
      <c r="K23" s="30">
        <f t="shared" si="11"/>
        <v>0</v>
      </c>
      <c r="L23" s="30">
        <f t="shared" si="11"/>
        <v>32754428</v>
      </c>
      <c r="M23" s="30">
        <f t="shared" si="11"/>
        <v>21166310.66</v>
      </c>
      <c r="N23" s="30">
        <f t="shared" si="11"/>
        <v>0</v>
      </c>
      <c r="O23" s="30">
        <f t="shared" si="11"/>
        <v>4754428</v>
      </c>
      <c r="P23" s="519"/>
      <c r="Q23" s="52"/>
      <c r="U23" s="52"/>
      <c r="V23" s="52"/>
    </row>
    <row r="24" spans="1:22" ht="12">
      <c r="A24" s="27">
        <f t="shared" si="10"/>
        <v>11</v>
      </c>
      <c r="B24" s="27"/>
      <c r="C24" s="27"/>
      <c r="D24" s="27">
        <v>4211</v>
      </c>
      <c r="E24" s="8" t="s">
        <v>568</v>
      </c>
      <c r="F24" s="102"/>
      <c r="G24" s="8"/>
      <c r="H24" s="30">
        <f>+H209</f>
        <v>1650000</v>
      </c>
      <c r="I24" s="30">
        <f>+I209</f>
        <v>0</v>
      </c>
      <c r="J24" s="30">
        <f aca="true" t="shared" si="12" ref="J24:P24">+J209</f>
        <v>0</v>
      </c>
      <c r="K24" s="30">
        <f t="shared" si="12"/>
        <v>0</v>
      </c>
      <c r="L24" s="30">
        <f>+L209</f>
        <v>1650000</v>
      </c>
      <c r="M24" s="30">
        <f>+M209</f>
        <v>1115664.28</v>
      </c>
      <c r="N24" s="30">
        <f>+N209</f>
        <v>0</v>
      </c>
      <c r="O24" s="30">
        <f>+O209</f>
        <v>0</v>
      </c>
      <c r="P24" s="30">
        <f t="shared" si="12"/>
        <v>0</v>
      </c>
      <c r="Q24" s="52"/>
      <c r="U24" s="52"/>
      <c r="V24" s="52"/>
    </row>
    <row r="25" spans="1:22" ht="13.5" customHeight="1">
      <c r="A25" s="27">
        <f t="shared" si="10"/>
        <v>12</v>
      </c>
      <c r="B25" s="27"/>
      <c r="C25" s="27"/>
      <c r="D25" s="27">
        <v>422</v>
      </c>
      <c r="E25" s="8" t="s">
        <v>569</v>
      </c>
      <c r="F25" s="102"/>
      <c r="G25" s="8"/>
      <c r="H25" s="30">
        <f>+H93+H128+H180+H210+H602+H635+H666+H696+H727+H758+H819+H903</f>
        <v>3836000</v>
      </c>
      <c r="I25" s="30">
        <f>+I93+I128+I180+I210+I602+I635+I666+I696+I727+I758+I819+I903</f>
        <v>630000</v>
      </c>
      <c r="J25" s="30">
        <f aca="true" t="shared" si="13" ref="J25:P25">+J93+J128+J180+J210+J602+J635+J666+J696+J727+J758+J819+J903</f>
        <v>0</v>
      </c>
      <c r="K25" s="30">
        <f t="shared" si="13"/>
        <v>0</v>
      </c>
      <c r="L25" s="30">
        <f>+L93+L128+L180+L210+L602+L635+L666+L696+L727+L758+L819+L903</f>
        <v>4466000</v>
      </c>
      <c r="M25" s="30">
        <f t="shared" si="13"/>
        <v>3220181.9299999997</v>
      </c>
      <c r="N25" s="30">
        <f t="shared" si="13"/>
        <v>532155.94</v>
      </c>
      <c r="O25" s="30">
        <f>+O93+O128+O180+O210+O602+O635+O666+O696+O727+O758+O819+O903</f>
        <v>3494</v>
      </c>
      <c r="P25" s="30">
        <f t="shared" si="13"/>
        <v>0</v>
      </c>
      <c r="Q25" s="52"/>
      <c r="U25" s="52"/>
      <c r="V25" s="52"/>
    </row>
    <row r="26" spans="1:22" ht="12">
      <c r="A26" s="27">
        <f t="shared" si="10"/>
        <v>13</v>
      </c>
      <c r="B26" s="27"/>
      <c r="C26" s="27"/>
      <c r="D26" s="27">
        <v>423</v>
      </c>
      <c r="E26" s="8" t="s">
        <v>539</v>
      </c>
      <c r="F26" s="102"/>
      <c r="G26" s="8"/>
      <c r="H26" s="30">
        <f>+H95+H130+H181+H211+H267+H603+H636+H667+H697+H728+H759+H820+H843+H861+H921+H940+H962+H1000+H1017</f>
        <v>24909640</v>
      </c>
      <c r="I26" s="30">
        <f>+I95+I130+I181+I211+I267+I603+I636+I667+I697+I728+I759+I820+I843+I861+I921+I940+I962+I1000+I1017</f>
        <v>8186438</v>
      </c>
      <c r="J26" s="30">
        <f>+J95+J130+J181+J211+J267+J603+J636+J667+J697+J728+J759+J820+J843+J861+J921+J940+J962+J1000+J1017+J904</f>
        <v>2917638</v>
      </c>
      <c r="K26" s="30">
        <f>+K95+K130+K181+K211+K246+K251+K267+K603+K636+K667+K697+K728+K759+K820+K843+K861+K921+K940+K962+K1000+K1017</f>
        <v>0</v>
      </c>
      <c r="L26" s="30">
        <f>+L95+L130+L181+L211+L267+L603+L636+L667+L697+L728+L759+L820+L843+L861+L921+L940+L962+L1000+L1017+L904</f>
        <v>36013716</v>
      </c>
      <c r="M26" s="30">
        <f>+M95+M130+M181+M211+M267+M603+M636+M667+M697+M728+M759+M820+M843+M861+M921+M940+M962+M1000+M1017</f>
        <v>20612945.53</v>
      </c>
      <c r="N26" s="30">
        <f>+N95+N130+N181+N211+N267+N603+N636+N667+N697+N728+N759+N820+N843+N861+N921+N940+N962+N1000+N1017</f>
        <v>2331909.44</v>
      </c>
      <c r="O26" s="30">
        <f>+O95+O130+O181+O211+O267+O603+O636+O667+O697+O728+O759+O820+O843+O861+O921+O940+O962+O1000+O1017</f>
        <v>2913638</v>
      </c>
      <c r="P26" s="30">
        <f>+P95+P130+P181+P211+P246+P251+P267+P603+P636+P667+P697+P728+P759+P820+P843+P861+P921+P940+P962+P1000+P1017</f>
        <v>0</v>
      </c>
      <c r="Q26" s="52"/>
      <c r="U26" s="52"/>
      <c r="V26" s="52"/>
    </row>
    <row r="27" spans="1:22" ht="12">
      <c r="A27" s="27">
        <f t="shared" si="10"/>
        <v>14</v>
      </c>
      <c r="B27" s="27"/>
      <c r="C27" s="27"/>
      <c r="D27" s="27">
        <v>423</v>
      </c>
      <c r="E27" s="9" t="s">
        <v>553</v>
      </c>
      <c r="F27" s="102"/>
      <c r="G27" s="8"/>
      <c r="H27" s="30">
        <f aca="true" t="shared" si="14" ref="H27:P27">+H96+H131</f>
        <v>4700000</v>
      </c>
      <c r="I27" s="30">
        <f t="shared" si="14"/>
        <v>0</v>
      </c>
      <c r="J27" s="30">
        <f t="shared" si="14"/>
        <v>0</v>
      </c>
      <c r="K27" s="30">
        <f t="shared" si="14"/>
        <v>0</v>
      </c>
      <c r="L27" s="30">
        <f t="shared" si="14"/>
        <v>4700000</v>
      </c>
      <c r="M27" s="30">
        <f t="shared" si="14"/>
        <v>2989689.76</v>
      </c>
      <c r="N27" s="30">
        <f t="shared" si="14"/>
        <v>0</v>
      </c>
      <c r="O27" s="30">
        <f t="shared" si="14"/>
        <v>0</v>
      </c>
      <c r="P27" s="30">
        <f t="shared" si="14"/>
        <v>0</v>
      </c>
      <c r="Q27" s="52">
        <f>M26+M27</f>
        <v>23602635.29</v>
      </c>
      <c r="U27" s="52"/>
      <c r="V27" s="52"/>
    </row>
    <row r="28" spans="1:22" ht="12">
      <c r="A28" s="27">
        <f t="shared" si="10"/>
        <v>15</v>
      </c>
      <c r="B28" s="27"/>
      <c r="C28" s="27"/>
      <c r="D28" s="27">
        <v>424</v>
      </c>
      <c r="E28" s="8" t="s">
        <v>554</v>
      </c>
      <c r="F28" s="102"/>
      <c r="G28" s="8"/>
      <c r="H28" s="30">
        <f aca="true" t="shared" si="15" ref="H28:O28">+H97+H132+H182+H212+H414+H476+H604+H637+H668+H698+H729+H760+H821+H844+H883+H922+H941+H984+H1001+H559+H862+H578</f>
        <v>67873440</v>
      </c>
      <c r="I28" s="30">
        <f t="shared" si="15"/>
        <v>7897000</v>
      </c>
      <c r="J28" s="30">
        <f t="shared" si="15"/>
        <v>5539525</v>
      </c>
      <c r="K28" s="30">
        <f t="shared" si="15"/>
        <v>0</v>
      </c>
      <c r="L28" s="30">
        <f t="shared" si="15"/>
        <v>81309965</v>
      </c>
      <c r="M28" s="30">
        <f t="shared" si="15"/>
        <v>59834631.989999995</v>
      </c>
      <c r="N28" s="30">
        <f t="shared" si="15"/>
        <v>4445757.3</v>
      </c>
      <c r="O28" s="30">
        <f t="shared" si="15"/>
        <v>2855973</v>
      </c>
      <c r="P28" s="30">
        <f>+P97+P132+P182+P212+P414+P476+P604+P637+P668+P698+P729+P760+P821+P844+P883+P922+P941+P984+P1001+P559+P862</f>
        <v>0</v>
      </c>
      <c r="Q28" s="52"/>
      <c r="U28" s="52"/>
      <c r="V28" s="52"/>
    </row>
    <row r="29" spans="1:22" ht="12">
      <c r="A29" s="27">
        <f t="shared" si="10"/>
        <v>16</v>
      </c>
      <c r="B29" s="27"/>
      <c r="C29" s="27"/>
      <c r="D29" s="27">
        <v>425</v>
      </c>
      <c r="E29" s="8" t="s">
        <v>540</v>
      </c>
      <c r="F29" s="102"/>
      <c r="G29" s="8"/>
      <c r="H29" s="30">
        <f>+H98+H133+H183+H213+H563+H605+H638+H567+H669+H699+H730+H761+H772+H777+H822+H863+H884+H905+H923+H942+H963+H985+H1002+H1018</f>
        <v>57913840</v>
      </c>
      <c r="I29" s="30">
        <f>+I98+I133+I183+I213+I563+I605+I638+I567+I669+I699+I730+I761+I772+I777+I822+I863+I884+I905+I923+I942+I963+I985+I1002+I1018</f>
        <v>2900000</v>
      </c>
      <c r="J29" s="30">
        <f aca="true" t="shared" si="16" ref="J29:P29">+J98+J133+J183+J213+J563+J605+J638+J567+J669+J699+J730+J761+J772+J777+J822+J863+J884+J905+J923+J942+J963+J985+J1002+J1018</f>
        <v>3135065</v>
      </c>
      <c r="K29" s="30">
        <f t="shared" si="16"/>
        <v>0</v>
      </c>
      <c r="L29" s="30">
        <f>+L98+L133+L183+L213+L563+L605+L638+L567+L669+L699+L730+L761+L772+L777+L822+L863+L884+L905+L923+L942+L963+L985+L1002+L1018</f>
        <v>63948905</v>
      </c>
      <c r="M29" s="30">
        <f>+M98+M133+M183+M213+M563+M605+M638+M567+M669+M699+M730+M761+M772+M777+M822+M863+M884+M905+M923+M942+M963+M985+M1002+M1018</f>
        <v>33258142.099999998</v>
      </c>
      <c r="N29" s="30">
        <f>+N98+N133+N183+N213+N563+N605+N638+N567+N669+N699+N730+N761+N772+N777+N822+N863+N884+N905+N923+N942+N963+N985+N1002+N1018</f>
        <v>1330274.04</v>
      </c>
      <c r="O29" s="30">
        <f>+O98+O133+O183+O213+O563+O605+O638+O567+O669+O699+O730+O761+O772+O777+O822+O863+O884+O905+O923+O942+O963+O985+O1002+O1018</f>
        <v>2233270.32</v>
      </c>
      <c r="P29" s="30">
        <f t="shared" si="16"/>
        <v>0</v>
      </c>
      <c r="Q29" s="52"/>
      <c r="U29" s="52"/>
      <c r="V29" s="52"/>
    </row>
    <row r="30" spans="1:22" ht="12">
      <c r="A30" s="27">
        <f t="shared" si="10"/>
        <v>17</v>
      </c>
      <c r="B30" s="27"/>
      <c r="C30" s="27"/>
      <c r="D30" s="33">
        <v>426</v>
      </c>
      <c r="E30" s="9" t="s">
        <v>530</v>
      </c>
      <c r="F30" s="95"/>
      <c r="G30" s="9"/>
      <c r="H30" s="10">
        <f>+H99+H134+H184+H214+H606+H639+H670+H700+H731+H762+H823+H845+H864+H885+H924+H943+H986+H1003+H1019+H964</f>
        <v>18334500</v>
      </c>
      <c r="I30" s="10">
        <f>+I99+I134+I184+I214+I606+I639+I670+I700+I731+I762+I823+I845+I864+I885+I924+I943+I986+I1003+I1019+I964</f>
        <v>5360000</v>
      </c>
      <c r="J30" s="10">
        <f>+J99+J134+J184+J214+J606+J639+J670+J700+J731+J762+J823+J845+J864+J885+J924+J943+J986+J1003+J1019+J906+J964</f>
        <v>367184</v>
      </c>
      <c r="K30" s="10">
        <f>+K99+K134+K184+K214+K606+K639+K670+K700+K731+K762+K823+K845+K864+K885+K924+K943+K986+K1003+K1019</f>
        <v>0</v>
      </c>
      <c r="L30" s="10">
        <f>+L99+L134+L184+L214+L606+L639+L670+L700+L731+L762+L823+L845+L864+L885+L924+L943+L986+L1003+L1019+L964+L906</f>
        <v>24061684</v>
      </c>
      <c r="M30" s="10">
        <f>+M99+M134+M184+M214+M606+M639+M670+M700+M731+M762+M823+M845+M864+M885+M924+M943+M986+M1003+M1019+M964</f>
        <v>14050908.040000001</v>
      </c>
      <c r="N30" s="10">
        <f>+N99+N134+N184+N214+N606+N639+N670+N700+N731+N762+N823+N845+N864+N885+N924+N943+N986+N1003+N1019+N964</f>
        <v>3097705.69</v>
      </c>
      <c r="O30" s="10">
        <f>+O99+O134+O184+O214+O606+O639+O670+O700+O731+O762+O823+O845+O864+O885+O924+O943+O986+O1003+O1019+O964+O906</f>
        <v>248830.78000000003</v>
      </c>
      <c r="P30" s="10">
        <f>+P99+P134+P184+P214+P606+P639+P670+P700+P731+P762+P823+P845+P864+P885+P924+P943+P986+P1003+P1019</f>
        <v>0</v>
      </c>
      <c r="Q30" s="52"/>
      <c r="U30" s="52"/>
      <c r="V30" s="52"/>
    </row>
    <row r="31" spans="1:22" ht="12">
      <c r="A31" s="26">
        <f>+A30+1</f>
        <v>18</v>
      </c>
      <c r="B31" s="26"/>
      <c r="C31" s="26"/>
      <c r="D31" s="12">
        <v>441</v>
      </c>
      <c r="E31" s="3" t="str">
        <f>+G438</f>
        <v>Отплате домаћих камата</v>
      </c>
      <c r="F31" s="103"/>
      <c r="G31" s="3"/>
      <c r="H31" s="408">
        <f>+H438</f>
        <v>19900000</v>
      </c>
      <c r="I31" s="408">
        <f>+I438</f>
        <v>0</v>
      </c>
      <c r="J31" s="408">
        <f aca="true" t="shared" si="17" ref="J31:P31">+J438</f>
        <v>4000000</v>
      </c>
      <c r="K31" s="408">
        <f t="shared" si="17"/>
        <v>0</v>
      </c>
      <c r="L31" s="408">
        <f>+L438</f>
        <v>23900000</v>
      </c>
      <c r="M31" s="408">
        <f>+M438</f>
        <v>16348410.37</v>
      </c>
      <c r="N31" s="408">
        <f>+N438</f>
        <v>0</v>
      </c>
      <c r="O31" s="408">
        <f>+O438</f>
        <v>4000000</v>
      </c>
      <c r="P31" s="408">
        <f t="shared" si="17"/>
        <v>0</v>
      </c>
      <c r="Q31" s="62"/>
      <c r="U31" s="52"/>
      <c r="V31" s="52"/>
    </row>
    <row r="32" spans="1:22" ht="12">
      <c r="A32" s="26">
        <f>+A31+1</f>
        <v>19</v>
      </c>
      <c r="B32" s="26"/>
      <c r="C32" s="26"/>
      <c r="D32" s="12">
        <v>611</v>
      </c>
      <c r="E32" s="5" t="s">
        <v>555</v>
      </c>
      <c r="F32" s="104"/>
      <c r="G32" s="3"/>
      <c r="H32" s="408">
        <f>H439</f>
        <v>33250000</v>
      </c>
      <c r="I32" s="408">
        <f>I439</f>
        <v>0</v>
      </c>
      <c r="J32" s="408">
        <f aca="true" t="shared" si="18" ref="J32:P32">J439</f>
        <v>0</v>
      </c>
      <c r="K32" s="408">
        <f t="shared" si="18"/>
        <v>0</v>
      </c>
      <c r="L32" s="408">
        <f>L439</f>
        <v>33250000</v>
      </c>
      <c r="M32" s="408">
        <f>M439</f>
        <v>29038137.51</v>
      </c>
      <c r="N32" s="408">
        <f>N439</f>
        <v>0</v>
      </c>
      <c r="O32" s="408">
        <f>O439</f>
        <v>0</v>
      </c>
      <c r="P32" s="408">
        <f t="shared" si="18"/>
        <v>0</v>
      </c>
      <c r="Q32" s="52"/>
      <c r="U32" s="52"/>
      <c r="V32" s="52"/>
    </row>
    <row r="33" spans="1:22" ht="12">
      <c r="A33" s="26">
        <f>+A32+1</f>
        <v>20</v>
      </c>
      <c r="B33" s="26"/>
      <c r="C33" s="26"/>
      <c r="D33" s="12">
        <v>450</v>
      </c>
      <c r="E33" s="3" t="s">
        <v>556</v>
      </c>
      <c r="F33" s="103"/>
      <c r="G33" s="3"/>
      <c r="H33" s="409">
        <f>H582+H492+H577</f>
        <v>1800000</v>
      </c>
      <c r="I33" s="409">
        <f>I582+I492+I577</f>
        <v>0</v>
      </c>
      <c r="J33" s="409">
        <f aca="true" t="shared" si="19" ref="J33:P33">J582+J492+J577</f>
        <v>0</v>
      </c>
      <c r="K33" s="409">
        <f t="shared" si="19"/>
        <v>0</v>
      </c>
      <c r="L33" s="409">
        <f>L582+L492+L577</f>
        <v>1800000</v>
      </c>
      <c r="M33" s="409">
        <f t="shared" si="19"/>
        <v>300000</v>
      </c>
      <c r="N33" s="409">
        <f t="shared" si="19"/>
        <v>0</v>
      </c>
      <c r="O33" s="409">
        <f>O582+O492+O577</f>
        <v>0</v>
      </c>
      <c r="P33" s="409">
        <f t="shared" si="19"/>
        <v>0</v>
      </c>
      <c r="Q33" s="62"/>
      <c r="U33" s="52"/>
      <c r="V33" s="52"/>
    </row>
    <row r="34" spans="1:22" ht="12">
      <c r="A34" s="33">
        <f aca="true" t="shared" si="20" ref="A34:A40">A33+1</f>
        <v>21</v>
      </c>
      <c r="B34" s="33"/>
      <c r="C34" s="33"/>
      <c r="D34" s="2">
        <v>460</v>
      </c>
      <c r="E34" s="35" t="s">
        <v>488</v>
      </c>
      <c r="F34" s="100"/>
      <c r="G34" s="35"/>
      <c r="H34" s="410">
        <f>H35+H36</f>
        <v>75536392.47</v>
      </c>
      <c r="I34" s="410">
        <f>I35+I36</f>
        <v>213479</v>
      </c>
      <c r="J34" s="410">
        <f aca="true" t="shared" si="21" ref="J34:P34">J35</f>
        <v>1000000</v>
      </c>
      <c r="K34" s="410">
        <f t="shared" si="21"/>
        <v>0</v>
      </c>
      <c r="L34" s="410">
        <f>L35+L36</f>
        <v>76749871.47</v>
      </c>
      <c r="M34" s="410">
        <f>M35+M36</f>
        <v>58264290.760000005</v>
      </c>
      <c r="N34" s="410">
        <f>N35+N36</f>
        <v>161396</v>
      </c>
      <c r="O34" s="410">
        <f>O35+O36</f>
        <v>1000000</v>
      </c>
      <c r="P34" s="410">
        <f t="shared" si="21"/>
        <v>0</v>
      </c>
      <c r="Q34" s="52"/>
      <c r="U34" s="52"/>
      <c r="V34" s="52"/>
    </row>
    <row r="35" spans="1:22" ht="12">
      <c r="A35" s="33">
        <f t="shared" si="20"/>
        <v>22</v>
      </c>
      <c r="B35" s="33"/>
      <c r="C35" s="33"/>
      <c r="D35" s="33">
        <v>463</v>
      </c>
      <c r="E35" s="9" t="s">
        <v>557</v>
      </c>
      <c r="F35" s="95"/>
      <c r="G35" s="9"/>
      <c r="H35" s="10">
        <f>+H263+H413+H503+H514+H526+H401+H452+H283+H576</f>
        <v>74015840.47</v>
      </c>
      <c r="I35" s="10">
        <f>+I263+I413+I503+I514+I526+I401+I452+I283+I576</f>
        <v>0</v>
      </c>
      <c r="J35" s="10">
        <f>+J263+J413+J503+J514+J526+J401+J452+J283</f>
        <v>1000000</v>
      </c>
      <c r="K35" s="10">
        <f>+K247+K263+K413+K503+K514+K526+K401+K452+K283</f>
        <v>0</v>
      </c>
      <c r="L35" s="10">
        <f>+L263+L413+L503+L514+L526+L401+L452+L283+L576</f>
        <v>75015840.47</v>
      </c>
      <c r="M35" s="10">
        <f>+M263+M413+M503+M514+M526+M401+M452+M283+M576</f>
        <v>56772031.78000001</v>
      </c>
      <c r="N35" s="10">
        <f>+N263+N413+N503+N514+N526+N401+N452+N283+N576</f>
        <v>0</v>
      </c>
      <c r="O35" s="10">
        <f>+O263+O413+O503+O514+O526+O401+O452+O283+O576</f>
        <v>1000000</v>
      </c>
      <c r="P35" s="10">
        <f>+P247+P263+P413+P503+P514+P526+P401+P452+P283</f>
        <v>0</v>
      </c>
      <c r="Q35" s="52"/>
      <c r="U35" s="52"/>
      <c r="V35" s="52"/>
    </row>
    <row r="36" spans="1:22" ht="12">
      <c r="A36" s="33"/>
      <c r="B36" s="33"/>
      <c r="C36" s="33"/>
      <c r="D36" s="33">
        <v>465</v>
      </c>
      <c r="E36" s="9" t="s">
        <v>558</v>
      </c>
      <c r="F36" s="95"/>
      <c r="G36" s="9"/>
      <c r="H36" s="10">
        <f aca="true" t="shared" si="22" ref="H36:O36">+H100+H135+H187+H215+H607+H640+H671+H701+H732+H763</f>
        <v>1520552</v>
      </c>
      <c r="I36" s="10">
        <f t="shared" si="22"/>
        <v>213479</v>
      </c>
      <c r="J36" s="10">
        <f t="shared" si="22"/>
        <v>0</v>
      </c>
      <c r="K36" s="10">
        <f t="shared" si="22"/>
        <v>0</v>
      </c>
      <c r="L36" s="10">
        <f t="shared" si="22"/>
        <v>1734031</v>
      </c>
      <c r="M36" s="10">
        <f t="shared" si="22"/>
        <v>1492258.98</v>
      </c>
      <c r="N36" s="10">
        <f t="shared" si="22"/>
        <v>161396</v>
      </c>
      <c r="O36" s="10">
        <f t="shared" si="22"/>
        <v>0</v>
      </c>
      <c r="P36" s="10"/>
      <c r="Q36" s="52"/>
      <c r="U36" s="52"/>
      <c r="V36" s="52"/>
    </row>
    <row r="37" spans="1:22" ht="12">
      <c r="A37" s="26">
        <f>A35+1</f>
        <v>23</v>
      </c>
      <c r="B37" s="26"/>
      <c r="C37" s="26"/>
      <c r="D37" s="12">
        <v>470</v>
      </c>
      <c r="E37" s="3" t="s">
        <v>559</v>
      </c>
      <c r="F37" s="103"/>
      <c r="G37" s="3"/>
      <c r="H37" s="409">
        <f>+H238+H527+H531+H255+H242+H259+H535+H571+H279+H247+H536+H246+H251</f>
        <v>55554502</v>
      </c>
      <c r="I37" s="409">
        <f>+I238+I527+I531+I255+I242+I259+I535+I571+I279+I247+I536+I246+I251</f>
        <v>0</v>
      </c>
      <c r="J37" s="409">
        <f>+J238+J527+J531+J255+J242+J259+J535+J571+J279+J247+J536+J246+J251</f>
        <v>41323386</v>
      </c>
      <c r="K37" s="409">
        <f>+K238+K527+K531+K255+K242+K259+K535+K571+K279+K247+K536</f>
        <v>0</v>
      </c>
      <c r="L37" s="409">
        <f>+L238+L527+L531+L255+L242+L259+L535+L571+L279+L247+L536+L246+L251</f>
        <v>96877888</v>
      </c>
      <c r="M37" s="409">
        <f>+M238+M527+M531+M255+M242+M259+M535+M571+M279+M247+M536+M246+M251</f>
        <v>36283991.769999996</v>
      </c>
      <c r="N37" s="409">
        <f>+N238+N527+N531+N255+N242+N259+N535+N571+N279+N247+N536+N246+N251</f>
        <v>0</v>
      </c>
      <c r="O37" s="409">
        <f>+O238+O527+O531+O255+O242+O259+O535+O571+O279+O247+O536+O246+O251</f>
        <v>8626379.02</v>
      </c>
      <c r="P37" s="409">
        <f>+P238+P527+P531+P255+P242+P259+P535+P571+P279</f>
        <v>0</v>
      </c>
      <c r="Q37" s="62"/>
      <c r="U37" s="52"/>
      <c r="V37" s="52"/>
    </row>
    <row r="38" spans="1:22" ht="12">
      <c r="A38" s="33">
        <f t="shared" si="20"/>
        <v>24</v>
      </c>
      <c r="B38" s="33"/>
      <c r="C38" s="33"/>
      <c r="D38" s="2">
        <v>480</v>
      </c>
      <c r="E38" s="35" t="s">
        <v>560</v>
      </c>
      <c r="F38" s="100"/>
      <c r="G38" s="35"/>
      <c r="H38" s="410">
        <f>H39+H44+H43+H40+H41</f>
        <v>26890088</v>
      </c>
      <c r="I38" s="410">
        <f>I39+I44+I43+I40+I41</f>
        <v>473562</v>
      </c>
      <c r="J38" s="410">
        <f aca="true" t="shared" si="23" ref="J38:P38">J39+J44+J43+J40+J41</f>
        <v>5095100.46</v>
      </c>
      <c r="K38" s="410">
        <f t="shared" si="23"/>
        <v>0</v>
      </c>
      <c r="L38" s="410">
        <f>L39+L44+L43+L40+L41</f>
        <v>32445188.46</v>
      </c>
      <c r="M38" s="410">
        <f>M39+M44+M43+M40+M41</f>
        <v>23278536.419999998</v>
      </c>
      <c r="N38" s="410">
        <f>N39+N44+N43+N40+N41</f>
        <v>151767</v>
      </c>
      <c r="O38" s="410">
        <f>O39+O44+O43+O40+O41</f>
        <v>4832732.42</v>
      </c>
      <c r="P38" s="410">
        <f t="shared" si="23"/>
        <v>0</v>
      </c>
      <c r="Q38" s="52"/>
      <c r="U38" s="52"/>
      <c r="V38" s="52"/>
    </row>
    <row r="39" spans="1:22" ht="12">
      <c r="A39" s="33">
        <f t="shared" si="20"/>
        <v>25</v>
      </c>
      <c r="B39" s="33"/>
      <c r="C39" s="33"/>
      <c r="D39" s="33">
        <v>482</v>
      </c>
      <c r="E39" s="9" t="s">
        <v>541</v>
      </c>
      <c r="F39" s="95"/>
      <c r="G39" s="9"/>
      <c r="H39" s="10">
        <f>+H101+H136+H185+H216+H608+H672+H702+H733+H764+H825+H965+H866</f>
        <v>4737088</v>
      </c>
      <c r="I39" s="10">
        <f>+I101+I136+I185+I216+I608+I672+I702+I733+I764+I825+I965+I866+I641</f>
        <v>473562</v>
      </c>
      <c r="J39" s="10">
        <f>+J101+J136+J185+J216+J608+J672+J702+J733+J764+J825+J965+J866+J641+J846+J887</f>
        <v>271800</v>
      </c>
      <c r="K39" s="10">
        <f>+K101+K136+K185+K216+K608+K672+K702+K733+K764+K825+K965+K866+K641+K846+K887</f>
        <v>0</v>
      </c>
      <c r="L39" s="10">
        <f>+L101+L136+L185+L216+L608+L672+L702+L733+L764+L825+L965+L866+L641+L846+L887</f>
        <v>5468888</v>
      </c>
      <c r="M39" s="10">
        <f>+M101+M136+M185+M216+M608+M672+M702+M733+M764+M825+M965+M866+M641</f>
        <v>4065510.48</v>
      </c>
      <c r="N39" s="10">
        <f>+N101+N136+N185+N216+N608+N672+N702+N733+N764+N825+N965+N866+N641</f>
        <v>151767</v>
      </c>
      <c r="O39" s="10">
        <f>+O101+O136+O185+O216+O608+O672+O702+O733+O764+O825+O965+O866+O887</f>
        <v>35029</v>
      </c>
      <c r="P39" s="10">
        <f>+P101+P136+P185+P216+P608+P672+P702+P733+P764+P825+P965+P866</f>
        <v>0</v>
      </c>
      <c r="Q39" s="52"/>
      <c r="U39" s="52"/>
      <c r="V39" s="52"/>
    </row>
    <row r="40" spans="1:22" ht="12">
      <c r="A40" s="33">
        <f t="shared" si="20"/>
        <v>26</v>
      </c>
      <c r="B40" s="33"/>
      <c r="C40" s="33"/>
      <c r="D40" s="33">
        <v>483</v>
      </c>
      <c r="E40" s="8" t="s">
        <v>570</v>
      </c>
      <c r="F40" s="102"/>
      <c r="G40" s="9"/>
      <c r="H40" s="10">
        <f>+H103+H138</f>
        <v>0</v>
      </c>
      <c r="I40" s="10">
        <f>+I103+I138</f>
        <v>0</v>
      </c>
      <c r="J40" s="10">
        <f aca="true" t="shared" si="24" ref="J40:P40">+J103+J138</f>
        <v>0</v>
      </c>
      <c r="K40" s="10">
        <f t="shared" si="24"/>
        <v>0</v>
      </c>
      <c r="L40" s="10">
        <f>+L103+L138</f>
        <v>0</v>
      </c>
      <c r="M40" s="10">
        <f>+M103+M138</f>
        <v>0</v>
      </c>
      <c r="N40" s="10">
        <f>+N103+N138</f>
        <v>0</v>
      </c>
      <c r="O40" s="10">
        <f>+O103+O138</f>
        <v>0</v>
      </c>
      <c r="P40" s="10">
        <f t="shared" si="24"/>
        <v>0</v>
      </c>
      <c r="Q40" s="52"/>
      <c r="U40" s="52"/>
      <c r="V40" s="52"/>
    </row>
    <row r="41" spans="1:22" ht="12">
      <c r="A41" s="33"/>
      <c r="B41" s="33"/>
      <c r="C41" s="33"/>
      <c r="D41" s="33">
        <v>484</v>
      </c>
      <c r="E41" s="8" t="s">
        <v>571</v>
      </c>
      <c r="F41" s="102"/>
      <c r="G41" s="9"/>
      <c r="H41" s="10">
        <f>+H364</f>
        <v>5525000</v>
      </c>
      <c r="I41" s="10">
        <f>+I364</f>
        <v>0</v>
      </c>
      <c r="J41" s="10">
        <f aca="true" t="shared" si="25" ref="J41:P41">+J364</f>
        <v>4523300.46</v>
      </c>
      <c r="K41" s="10">
        <f t="shared" si="25"/>
        <v>0</v>
      </c>
      <c r="L41" s="10">
        <f>+L364</f>
        <v>10048300.46</v>
      </c>
      <c r="M41" s="10">
        <f>+M364</f>
        <v>5434810.48</v>
      </c>
      <c r="N41" s="10">
        <f>+N364</f>
        <v>0</v>
      </c>
      <c r="O41" s="10">
        <f>+O364</f>
        <v>4507703.42</v>
      </c>
      <c r="P41" s="10">
        <f t="shared" si="25"/>
        <v>0</v>
      </c>
      <c r="Q41" s="52"/>
      <c r="U41" s="52"/>
      <c r="V41" s="52"/>
    </row>
    <row r="42" spans="1:22" ht="12">
      <c r="A42" s="33"/>
      <c r="B42" s="33"/>
      <c r="C42" s="33"/>
      <c r="D42" s="33"/>
      <c r="E42" s="8" t="s">
        <v>549</v>
      </c>
      <c r="F42" s="102"/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52"/>
      <c r="U42" s="52"/>
      <c r="V42" s="52"/>
    </row>
    <row r="43" spans="1:22" ht="12">
      <c r="A43" s="33">
        <f>A40+1</f>
        <v>27</v>
      </c>
      <c r="B43" s="33"/>
      <c r="C43" s="33"/>
      <c r="D43" s="33">
        <v>4811</v>
      </c>
      <c r="E43" s="9" t="s">
        <v>561</v>
      </c>
      <c r="F43" s="95"/>
      <c r="G43" s="9"/>
      <c r="H43" s="10">
        <f>+H416</f>
        <v>2035000</v>
      </c>
      <c r="I43" s="10">
        <f>+I416</f>
        <v>0</v>
      </c>
      <c r="J43" s="10">
        <f aca="true" t="shared" si="26" ref="J43:P43">+J416</f>
        <v>0</v>
      </c>
      <c r="K43" s="10">
        <f t="shared" si="26"/>
        <v>0</v>
      </c>
      <c r="L43" s="10">
        <f>+L416</f>
        <v>2035000</v>
      </c>
      <c r="M43" s="10">
        <f>+M416</f>
        <v>2031000</v>
      </c>
      <c r="N43" s="10">
        <f>+N416</f>
        <v>0</v>
      </c>
      <c r="O43" s="10">
        <f>+O416</f>
        <v>0</v>
      </c>
      <c r="P43" s="10">
        <f t="shared" si="26"/>
        <v>0</v>
      </c>
      <c r="Q43" s="62"/>
      <c r="U43" s="52"/>
      <c r="V43" s="52"/>
    </row>
    <row r="44" spans="1:22" ht="12">
      <c r="A44" s="25">
        <f>A43+1</f>
        <v>28</v>
      </c>
      <c r="B44" s="25"/>
      <c r="C44" s="25"/>
      <c r="D44" s="25">
        <v>4819</v>
      </c>
      <c r="E44" s="22" t="s">
        <v>562</v>
      </c>
      <c r="F44" s="98"/>
      <c r="G44" s="22"/>
      <c r="H44" s="407">
        <f>+H337+H341+H345+H349+H397+H427+H287+H886+H865</f>
        <v>14593000</v>
      </c>
      <c r="I44" s="407">
        <f>+I337+I341+I345+I349+I397+I427+I287+I886+I865</f>
        <v>0</v>
      </c>
      <c r="J44" s="407">
        <f>+J337+J341+J345+J349+J397+J427+J287+J886+J865+J824</f>
        <v>300000</v>
      </c>
      <c r="K44" s="407">
        <f>+K337+K341+K345+K349+K397+K427+K287+K886+K865</f>
        <v>0</v>
      </c>
      <c r="L44" s="407">
        <f>+L337+L341+L345+L349+L397+L427+L287+L886+L865+L824</f>
        <v>14893000</v>
      </c>
      <c r="M44" s="407">
        <f>+M337+M341+M345+M349+M397+M427+M287+M886+M865</f>
        <v>11747215.459999999</v>
      </c>
      <c r="N44" s="407">
        <f>+N337+N341+N345+N349+N397+N427+N287+N886+N865</f>
        <v>0</v>
      </c>
      <c r="O44" s="407">
        <f>+O337+O341+O345+O349+O397+O427+O287+O886+O865+O824</f>
        <v>290000</v>
      </c>
      <c r="P44" s="407">
        <f>+P337+P341+P345+P349+P397+P427+P287+P886</f>
        <v>0</v>
      </c>
      <c r="Q44" s="62"/>
      <c r="S44" s="66">
        <f>533243617.95-533631357.95</f>
        <v>-387740</v>
      </c>
      <c r="U44" s="52"/>
      <c r="V44" s="52"/>
    </row>
    <row r="45" spans="1:22" ht="12">
      <c r="A45" s="33">
        <f>A44+1</f>
        <v>29</v>
      </c>
      <c r="B45" s="33"/>
      <c r="C45" s="33"/>
      <c r="D45" s="2">
        <v>499</v>
      </c>
      <c r="E45" s="35" t="s">
        <v>531</v>
      </c>
      <c r="F45" s="100"/>
      <c r="G45" s="35"/>
      <c r="H45" s="410">
        <f aca="true" t="shared" si="27" ref="H45:P45">H46+H47</f>
        <v>576915.3300000001</v>
      </c>
      <c r="I45" s="410">
        <f t="shared" si="27"/>
        <v>0</v>
      </c>
      <c r="J45" s="410">
        <f t="shared" si="27"/>
        <v>0</v>
      </c>
      <c r="K45" s="410">
        <f t="shared" si="27"/>
        <v>0</v>
      </c>
      <c r="L45" s="410">
        <f t="shared" si="27"/>
        <v>576915.3300000001</v>
      </c>
      <c r="M45" s="410">
        <f t="shared" si="27"/>
        <v>0</v>
      </c>
      <c r="N45" s="410">
        <f t="shared" si="27"/>
        <v>0</v>
      </c>
      <c r="O45" s="410">
        <f t="shared" si="27"/>
        <v>0</v>
      </c>
      <c r="P45" s="410">
        <f t="shared" si="27"/>
        <v>0</v>
      </c>
      <c r="Q45" s="71"/>
      <c r="U45" s="52"/>
      <c r="V45" s="52"/>
    </row>
    <row r="46" spans="1:22" ht="12">
      <c r="A46" s="33">
        <f aca="true" t="shared" si="28" ref="A46:A53">A45+1</f>
        <v>30</v>
      </c>
      <c r="B46" s="33"/>
      <c r="C46" s="33"/>
      <c r="D46" s="33">
        <v>49911</v>
      </c>
      <c r="E46" s="9" t="s">
        <v>532</v>
      </c>
      <c r="F46" s="95"/>
      <c r="G46" s="9"/>
      <c r="H46" s="10">
        <f aca="true" t="shared" si="29" ref="H46:P46">+H153</f>
        <v>400000</v>
      </c>
      <c r="I46" s="10">
        <f t="shared" si="29"/>
        <v>0</v>
      </c>
      <c r="J46" s="10">
        <f t="shared" si="29"/>
        <v>0</v>
      </c>
      <c r="K46" s="10">
        <f t="shared" si="29"/>
        <v>0</v>
      </c>
      <c r="L46" s="10">
        <f t="shared" si="29"/>
        <v>400000</v>
      </c>
      <c r="M46" s="10">
        <f t="shared" si="29"/>
        <v>0</v>
      </c>
      <c r="N46" s="10">
        <f t="shared" si="29"/>
        <v>0</v>
      </c>
      <c r="O46" s="10">
        <f t="shared" si="29"/>
        <v>0</v>
      </c>
      <c r="P46" s="10">
        <f t="shared" si="29"/>
        <v>0</v>
      </c>
      <c r="Q46" s="71"/>
      <c r="U46" s="52"/>
      <c r="V46" s="52"/>
    </row>
    <row r="47" spans="1:22" ht="12">
      <c r="A47" s="25">
        <f t="shared" si="28"/>
        <v>31</v>
      </c>
      <c r="B47" s="33"/>
      <c r="C47" s="33"/>
      <c r="D47" s="33">
        <v>49912</v>
      </c>
      <c r="E47" s="9" t="s">
        <v>542</v>
      </c>
      <c r="F47" s="95"/>
      <c r="G47" s="9"/>
      <c r="H47" s="10">
        <f aca="true" t="shared" si="30" ref="H47:P47">+H154+H158</f>
        <v>176915.33000000007</v>
      </c>
      <c r="I47" s="10">
        <f t="shared" si="30"/>
        <v>0</v>
      </c>
      <c r="J47" s="10">
        <f t="shared" si="30"/>
        <v>0</v>
      </c>
      <c r="K47" s="10">
        <f t="shared" si="30"/>
        <v>0</v>
      </c>
      <c r="L47" s="10">
        <f t="shared" si="30"/>
        <v>176915.33000000007</v>
      </c>
      <c r="M47" s="10">
        <f t="shared" si="30"/>
        <v>0</v>
      </c>
      <c r="N47" s="10">
        <f t="shared" si="30"/>
        <v>0</v>
      </c>
      <c r="O47" s="10">
        <f t="shared" si="30"/>
        <v>0</v>
      </c>
      <c r="P47" s="10">
        <f t="shared" si="30"/>
        <v>0</v>
      </c>
      <c r="Q47" s="71"/>
      <c r="U47" s="52"/>
      <c r="V47" s="52"/>
    </row>
    <row r="48" spans="1:22" ht="12">
      <c r="A48" s="25">
        <f>A47+1</f>
        <v>32</v>
      </c>
      <c r="B48" s="26"/>
      <c r="C48" s="26"/>
      <c r="D48" s="47">
        <v>500</v>
      </c>
      <c r="E48" s="48" t="s">
        <v>563</v>
      </c>
      <c r="F48" s="106"/>
      <c r="G48" s="48"/>
      <c r="H48" s="411">
        <f>H353+H358+H779</f>
        <v>25206354</v>
      </c>
      <c r="I48" s="411">
        <f>I353+I358+I779</f>
        <v>0</v>
      </c>
      <c r="J48" s="411">
        <f aca="true" t="shared" si="31" ref="J48:P48">J353+J358+J779</f>
        <v>0</v>
      </c>
      <c r="K48" s="411">
        <f t="shared" si="31"/>
        <v>72634661</v>
      </c>
      <c r="L48" s="411">
        <f>L353+L358+L779</f>
        <v>97841015</v>
      </c>
      <c r="M48" s="411">
        <f t="shared" si="31"/>
        <v>11091525.8</v>
      </c>
      <c r="N48" s="411">
        <f t="shared" si="31"/>
        <v>0</v>
      </c>
      <c r="O48" s="411">
        <f t="shared" si="31"/>
        <v>0</v>
      </c>
      <c r="P48" s="411">
        <f t="shared" si="31"/>
        <v>29301266.91</v>
      </c>
      <c r="Q48" s="71"/>
      <c r="U48" s="52"/>
      <c r="V48" s="52"/>
    </row>
    <row r="49" spans="1:22" ht="12">
      <c r="A49" s="33">
        <f t="shared" si="28"/>
        <v>33</v>
      </c>
      <c r="B49" s="33"/>
      <c r="C49" s="33"/>
      <c r="D49" s="2">
        <v>510</v>
      </c>
      <c r="E49" s="35" t="s">
        <v>533</v>
      </c>
      <c r="F49" s="100"/>
      <c r="G49" s="35"/>
      <c r="H49" s="410">
        <f aca="true" t="shared" si="32" ref="H49:P49">H50+H51+H52+H53+H54</f>
        <v>58194488.6</v>
      </c>
      <c r="I49" s="410">
        <f t="shared" si="32"/>
        <v>1975000</v>
      </c>
      <c r="J49" s="410">
        <f t="shared" si="32"/>
        <v>9966596</v>
      </c>
      <c r="K49" s="410">
        <f t="shared" si="32"/>
        <v>0</v>
      </c>
      <c r="L49" s="410">
        <f>L50+L51+L52+L53+L54</f>
        <v>70136084.6</v>
      </c>
      <c r="M49" s="410">
        <f t="shared" si="32"/>
        <v>31147303.770000003</v>
      </c>
      <c r="N49" s="410">
        <f t="shared" si="32"/>
        <v>814624.0900000001</v>
      </c>
      <c r="O49" s="410">
        <f t="shared" si="32"/>
        <v>7134477.86</v>
      </c>
      <c r="P49" s="410">
        <f t="shared" si="32"/>
        <v>0</v>
      </c>
      <c r="U49" s="52"/>
      <c r="V49" s="52"/>
    </row>
    <row r="50" spans="1:22" ht="12">
      <c r="A50" s="33">
        <f>A49+1</f>
        <v>34</v>
      </c>
      <c r="B50" s="33"/>
      <c r="C50" s="33"/>
      <c r="D50" s="33">
        <v>511</v>
      </c>
      <c r="E50" s="9" t="s">
        <v>534</v>
      </c>
      <c r="F50" s="95"/>
      <c r="G50" s="9"/>
      <c r="H50" s="10">
        <f aca="true" t="shared" si="33" ref="H50:O50">+H357+H360+H477+H674+H767+H773+H780+H827+H867+H925+H1004+H1020+H888+H944+H967+H463</f>
        <v>39550287.6</v>
      </c>
      <c r="I50" s="10">
        <f t="shared" si="33"/>
        <v>300000</v>
      </c>
      <c r="J50" s="10">
        <f t="shared" si="33"/>
        <v>9702569</v>
      </c>
      <c r="K50" s="10">
        <f t="shared" si="33"/>
        <v>0</v>
      </c>
      <c r="L50" s="10">
        <f t="shared" si="33"/>
        <v>49552856.599999994</v>
      </c>
      <c r="M50" s="10">
        <f t="shared" si="33"/>
        <v>19777057.880000003</v>
      </c>
      <c r="N50" s="10">
        <f t="shared" si="33"/>
        <v>200000</v>
      </c>
      <c r="O50" s="10">
        <f t="shared" si="33"/>
        <v>6870450.86</v>
      </c>
      <c r="P50" s="10">
        <f>+P357+P360+P477+P674+P773+P780+P827+P867+P925+P1004+P1020+P888+P944+P967</f>
        <v>0</v>
      </c>
      <c r="U50" s="52"/>
      <c r="V50" s="52"/>
    </row>
    <row r="51" spans="1:22" ht="12">
      <c r="A51" s="33">
        <f t="shared" si="28"/>
        <v>35</v>
      </c>
      <c r="B51" s="33"/>
      <c r="C51" s="33"/>
      <c r="D51" s="33">
        <v>512</v>
      </c>
      <c r="E51" s="9" t="s">
        <v>572</v>
      </c>
      <c r="F51" s="95"/>
      <c r="G51" s="9"/>
      <c r="H51" s="10">
        <f aca="true" t="shared" si="34" ref="H51:O51">+H104+H139+H188+H218+H610+H643+H675+H704+H735+H766+H828+H847+H868+H926+H945+H107</f>
        <v>18299201</v>
      </c>
      <c r="I51" s="10">
        <f t="shared" si="34"/>
        <v>990000</v>
      </c>
      <c r="J51" s="10">
        <f t="shared" si="34"/>
        <v>264027</v>
      </c>
      <c r="K51" s="10">
        <f t="shared" si="34"/>
        <v>0</v>
      </c>
      <c r="L51" s="10">
        <f t="shared" si="34"/>
        <v>19553228</v>
      </c>
      <c r="M51" s="10">
        <f t="shared" si="34"/>
        <v>11193197.790000001</v>
      </c>
      <c r="N51" s="10">
        <f t="shared" si="34"/>
        <v>562368.29</v>
      </c>
      <c r="O51" s="10">
        <f t="shared" si="34"/>
        <v>264027</v>
      </c>
      <c r="P51" s="10">
        <f>+P104+P139+P188+P218+P610+P643+P675+P704+P735+P766+P828+P847+P868+P926+P945</f>
        <v>0</v>
      </c>
      <c r="U51" s="52"/>
      <c r="V51" s="52"/>
    </row>
    <row r="52" spans="1:22" ht="12">
      <c r="A52" s="33">
        <f t="shared" si="28"/>
        <v>36</v>
      </c>
      <c r="B52" s="33"/>
      <c r="C52" s="33"/>
      <c r="D52" s="33">
        <v>513</v>
      </c>
      <c r="E52" s="9" t="s">
        <v>535</v>
      </c>
      <c r="F52" s="95"/>
      <c r="G52" s="9"/>
      <c r="H52" s="10">
        <f>+H611</f>
        <v>0</v>
      </c>
      <c r="I52" s="10">
        <f>+I611</f>
        <v>150000</v>
      </c>
      <c r="J52" s="10">
        <f aca="true" t="shared" si="35" ref="J52:P52">+J611</f>
        <v>0</v>
      </c>
      <c r="K52" s="10">
        <f t="shared" si="35"/>
        <v>0</v>
      </c>
      <c r="L52" s="10">
        <f>+L611</f>
        <v>150000</v>
      </c>
      <c r="M52" s="10">
        <f>+M611</f>
        <v>0</v>
      </c>
      <c r="N52" s="10">
        <f>+N611</f>
        <v>0</v>
      </c>
      <c r="O52" s="10">
        <f>+O611</f>
        <v>0</v>
      </c>
      <c r="P52" s="10">
        <f t="shared" si="35"/>
        <v>0</v>
      </c>
      <c r="U52" s="52"/>
      <c r="V52" s="52"/>
    </row>
    <row r="53" spans="1:22" ht="12">
      <c r="A53" s="33">
        <f t="shared" si="28"/>
        <v>37</v>
      </c>
      <c r="B53" s="33"/>
      <c r="C53" s="33"/>
      <c r="D53" s="27">
        <v>515</v>
      </c>
      <c r="E53" s="9" t="s">
        <v>536</v>
      </c>
      <c r="F53" s="95"/>
      <c r="G53" s="9"/>
      <c r="H53" s="10">
        <f>+H219+H612+H644</f>
        <v>345000</v>
      </c>
      <c r="I53" s="10">
        <f>+I219+I612+I644</f>
        <v>180000</v>
      </c>
      <c r="J53" s="10">
        <f aca="true" t="shared" si="36" ref="J53:P53">+J219+J612+J644</f>
        <v>0</v>
      </c>
      <c r="K53" s="10">
        <f t="shared" si="36"/>
        <v>0</v>
      </c>
      <c r="L53" s="10">
        <f>+L219+L612+L644</f>
        <v>525000</v>
      </c>
      <c r="M53" s="10">
        <f t="shared" si="36"/>
        <v>177048.1</v>
      </c>
      <c r="N53" s="10">
        <f t="shared" si="36"/>
        <v>43709.8</v>
      </c>
      <c r="O53" s="10">
        <f t="shared" si="36"/>
        <v>0</v>
      </c>
      <c r="P53" s="10">
        <f t="shared" si="36"/>
        <v>0</v>
      </c>
      <c r="U53" s="52"/>
      <c r="V53" s="52"/>
    </row>
    <row r="54" spans="1:22" ht="12">
      <c r="A54" s="33">
        <f>A53+1</f>
        <v>38</v>
      </c>
      <c r="B54" s="33"/>
      <c r="C54" s="33"/>
      <c r="D54" s="27">
        <v>523</v>
      </c>
      <c r="E54" s="9" t="s">
        <v>543</v>
      </c>
      <c r="F54" s="95"/>
      <c r="G54" s="9"/>
      <c r="H54" s="10">
        <f aca="true" t="shared" si="37" ref="H54:P54">+H736</f>
        <v>0</v>
      </c>
      <c r="I54" s="10">
        <f t="shared" si="37"/>
        <v>355000</v>
      </c>
      <c r="J54" s="10">
        <f t="shared" si="37"/>
        <v>0</v>
      </c>
      <c r="K54" s="10">
        <f t="shared" si="37"/>
        <v>0</v>
      </c>
      <c r="L54" s="10">
        <f t="shared" si="37"/>
        <v>355000</v>
      </c>
      <c r="M54" s="10">
        <f t="shared" si="37"/>
        <v>0</v>
      </c>
      <c r="N54" s="10">
        <f t="shared" si="37"/>
        <v>8546</v>
      </c>
      <c r="O54" s="10">
        <f t="shared" si="37"/>
        <v>0</v>
      </c>
      <c r="P54" s="10">
        <f t="shared" si="37"/>
        <v>0</v>
      </c>
      <c r="U54" s="52"/>
      <c r="V54" s="52"/>
    </row>
    <row r="55" spans="1:22" ht="12">
      <c r="A55" s="24">
        <f>A54+1</f>
        <v>39</v>
      </c>
      <c r="B55" s="24"/>
      <c r="C55" s="24"/>
      <c r="D55" s="13">
        <v>540</v>
      </c>
      <c r="E55" s="14" t="s">
        <v>529</v>
      </c>
      <c r="F55" s="107"/>
      <c r="G55" s="15"/>
      <c r="H55" s="412">
        <f>H56</f>
        <v>4000000</v>
      </c>
      <c r="I55" s="412">
        <f>I56</f>
        <v>0</v>
      </c>
      <c r="J55" s="412">
        <f aca="true" t="shared" si="38" ref="J55:P55">J56</f>
        <v>0</v>
      </c>
      <c r="K55" s="412">
        <f t="shared" si="38"/>
        <v>0</v>
      </c>
      <c r="L55" s="412">
        <f>L56</f>
        <v>4000000</v>
      </c>
      <c r="M55" s="412">
        <f>M56</f>
        <v>1337721</v>
      </c>
      <c r="N55" s="412">
        <f>N56</f>
        <v>0</v>
      </c>
      <c r="O55" s="412">
        <f>O56</f>
        <v>0</v>
      </c>
      <c r="P55" s="412">
        <f t="shared" si="38"/>
        <v>0</v>
      </c>
      <c r="Q55" s="71"/>
      <c r="U55" s="52"/>
      <c r="V55" s="52"/>
    </row>
    <row r="56" spans="1:22" ht="12">
      <c r="A56" s="25">
        <f>A55+1</f>
        <v>40</v>
      </c>
      <c r="B56" s="25"/>
      <c r="C56" s="25"/>
      <c r="D56" s="25">
        <v>541</v>
      </c>
      <c r="E56" s="22" t="s">
        <v>573</v>
      </c>
      <c r="F56" s="98"/>
      <c r="G56" s="22"/>
      <c r="H56" s="407">
        <f aca="true" t="shared" si="39" ref="H56:O56">+H359</f>
        <v>4000000</v>
      </c>
      <c r="I56" s="407">
        <f t="shared" si="39"/>
        <v>0</v>
      </c>
      <c r="J56" s="407">
        <f t="shared" si="39"/>
        <v>0</v>
      </c>
      <c r="K56" s="407">
        <f t="shared" si="39"/>
        <v>0</v>
      </c>
      <c r="L56" s="407">
        <f>+L359</f>
        <v>4000000</v>
      </c>
      <c r="M56" s="407">
        <f t="shared" si="39"/>
        <v>1337721</v>
      </c>
      <c r="N56" s="407">
        <f t="shared" si="39"/>
        <v>0</v>
      </c>
      <c r="O56" s="407">
        <f t="shared" si="39"/>
        <v>0</v>
      </c>
      <c r="P56" s="407">
        <f>+P359</f>
        <v>0</v>
      </c>
      <c r="Q56" s="71"/>
      <c r="U56" s="52"/>
      <c r="V56" s="52"/>
    </row>
    <row r="57" spans="1:22" ht="12">
      <c r="A57" s="47">
        <v>41</v>
      </c>
      <c r="B57" s="47"/>
      <c r="C57" s="47"/>
      <c r="D57" s="47">
        <v>621</v>
      </c>
      <c r="E57" s="48" t="s">
        <v>544</v>
      </c>
      <c r="F57" s="106"/>
      <c r="G57" s="48"/>
      <c r="H57" s="456">
        <f aca="true" t="shared" si="40" ref="H57:P57">+H575</f>
        <v>3000000</v>
      </c>
      <c r="I57" s="456">
        <f t="shared" si="40"/>
        <v>0</v>
      </c>
      <c r="J57" s="456">
        <f t="shared" si="40"/>
        <v>0</v>
      </c>
      <c r="K57" s="456">
        <f t="shared" si="40"/>
        <v>0</v>
      </c>
      <c r="L57" s="456">
        <f t="shared" si="40"/>
        <v>3000000</v>
      </c>
      <c r="M57" s="456">
        <f t="shared" si="40"/>
        <v>1900000</v>
      </c>
      <c r="N57" s="456">
        <f t="shared" si="40"/>
        <v>0</v>
      </c>
      <c r="O57" s="456">
        <f t="shared" si="40"/>
        <v>0</v>
      </c>
      <c r="P57" s="456">
        <f t="shared" si="40"/>
        <v>0</v>
      </c>
      <c r="Q57" s="71"/>
      <c r="U57" s="52"/>
      <c r="V57" s="52"/>
    </row>
    <row r="58" spans="1:22" ht="12.75" thickBot="1">
      <c r="A58" s="16" t="s">
        <v>574</v>
      </c>
      <c r="B58" s="16"/>
      <c r="C58" s="16"/>
      <c r="D58" s="36"/>
      <c r="E58" s="36"/>
      <c r="F58" s="108"/>
      <c r="G58" s="36"/>
      <c r="H58" s="401">
        <f aca="true" t="shared" si="41" ref="H58:O58">H12+H21+H32+H33+H34+H37+H38+H49+H45+H31+H55+H48+H57+H11</f>
        <v>823403773.4000001</v>
      </c>
      <c r="I58" s="401">
        <f t="shared" si="41"/>
        <v>62287000</v>
      </c>
      <c r="J58" s="401">
        <f t="shared" si="41"/>
        <v>88499476.46</v>
      </c>
      <c r="K58" s="401">
        <f t="shared" si="41"/>
        <v>72634661</v>
      </c>
      <c r="L58" s="401">
        <f t="shared" si="41"/>
        <v>1046811348.8600001</v>
      </c>
      <c r="M58" s="401">
        <f t="shared" si="41"/>
        <v>657333703.3299998</v>
      </c>
      <c r="N58" s="401">
        <f t="shared" si="41"/>
        <v>39067437.71</v>
      </c>
      <c r="O58" s="401">
        <f t="shared" si="41"/>
        <v>42054451.82</v>
      </c>
      <c r="P58" s="401">
        <f>P12+P21+P32+P33+P34+P37+P38+P49+P45+P31+P55+P48</f>
        <v>29301266.91</v>
      </c>
      <c r="Q58" s="410"/>
      <c r="U58" s="52"/>
      <c r="V58" s="52"/>
    </row>
    <row r="59" spans="1:16" ht="12.75" thickTop="1">
      <c r="A59" s="5"/>
      <c r="B59" s="5"/>
      <c r="C59" s="5"/>
      <c r="D59" s="9"/>
      <c r="E59" s="9"/>
      <c r="F59" s="95"/>
      <c r="G59" s="9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">
      <c r="A60" s="5"/>
      <c r="B60" s="5"/>
      <c r="C60" s="5"/>
      <c r="D60" s="9"/>
      <c r="E60" s="9"/>
      <c r="F60" s="95"/>
      <c r="G60" s="9"/>
      <c r="H60" s="10"/>
      <c r="I60" s="10"/>
      <c r="J60" s="10"/>
      <c r="K60" s="10"/>
      <c r="L60" s="10"/>
      <c r="M60" s="10"/>
      <c r="N60" s="10"/>
      <c r="O60" s="10"/>
      <c r="P60" s="10"/>
    </row>
    <row r="61" spans="1:12" ht="12">
      <c r="A61" s="5"/>
      <c r="B61" s="5"/>
      <c r="C61" s="5"/>
      <c r="D61" s="9"/>
      <c r="E61" s="9"/>
      <c r="F61" s="95"/>
      <c r="G61" s="9"/>
      <c r="H61" s="10"/>
      <c r="I61" s="10"/>
      <c r="J61" s="10"/>
      <c r="K61" s="10"/>
      <c r="L61" s="10"/>
    </row>
    <row r="62" spans="1:51" ht="12">
      <c r="A62" s="5"/>
      <c r="B62" s="5"/>
      <c r="C62" s="5"/>
      <c r="D62" s="9"/>
      <c r="E62" s="9"/>
      <c r="F62" s="95"/>
      <c r="G62" s="9"/>
      <c r="H62" s="10"/>
      <c r="I62" s="10"/>
      <c r="J62" s="10"/>
      <c r="K62" s="10"/>
      <c r="L62" s="10"/>
      <c r="AW62" s="67"/>
      <c r="AX62" s="67"/>
      <c r="AY62" s="67"/>
    </row>
    <row r="63" spans="1:51" ht="12">
      <c r="A63" s="5"/>
      <c r="B63" s="5"/>
      <c r="C63" s="5"/>
      <c r="D63" s="9"/>
      <c r="E63" s="9"/>
      <c r="F63" s="95"/>
      <c r="G63" s="9"/>
      <c r="H63" s="52"/>
      <c r="I63" s="52"/>
      <c r="J63" s="52"/>
      <c r="K63" s="52"/>
      <c r="AW63" s="67"/>
      <c r="AX63" s="67"/>
      <c r="AY63" s="67"/>
    </row>
    <row r="64" spans="1:51" ht="12">
      <c r="A64" s="5" t="s">
        <v>957</v>
      </c>
      <c r="B64" s="5"/>
      <c r="C64" s="5"/>
      <c r="D64" s="9"/>
      <c r="E64" s="9"/>
      <c r="F64" s="95"/>
      <c r="G64" s="9"/>
      <c r="H64" s="52"/>
      <c r="I64" s="52"/>
      <c r="J64" s="52"/>
      <c r="K64" s="52"/>
      <c r="AW64" s="67"/>
      <c r="AX64" s="67"/>
      <c r="AY64" s="67"/>
    </row>
    <row r="65" spans="1:11" ht="12">
      <c r="A65" s="5"/>
      <c r="B65" s="5"/>
      <c r="C65" s="5"/>
      <c r="D65" s="9"/>
      <c r="E65" s="9"/>
      <c r="F65" s="95"/>
      <c r="G65" s="9"/>
      <c r="H65" s="52"/>
      <c r="I65" s="52"/>
      <c r="J65" s="52"/>
      <c r="K65" s="52"/>
    </row>
    <row r="66" spans="1:17" ht="12">
      <c r="A66" s="70"/>
      <c r="B66" s="70"/>
      <c r="C66" s="70"/>
      <c r="D66" s="70"/>
      <c r="E66" s="24"/>
      <c r="F66" s="109"/>
      <c r="G66" s="34"/>
      <c r="H66" s="11" t="s">
        <v>450</v>
      </c>
      <c r="I66" s="11" t="s">
        <v>271</v>
      </c>
      <c r="J66" s="11" t="s">
        <v>271</v>
      </c>
      <c r="K66" s="11" t="s">
        <v>523</v>
      </c>
      <c r="L66" s="46" t="s">
        <v>272</v>
      </c>
      <c r="M66" s="385" t="s">
        <v>527</v>
      </c>
      <c r="N66" s="385" t="s">
        <v>528</v>
      </c>
      <c r="O66" s="385" t="s">
        <v>528</v>
      </c>
      <c r="P66" s="385" t="s">
        <v>528</v>
      </c>
      <c r="Q66" s="385" t="s">
        <v>579</v>
      </c>
    </row>
    <row r="67" spans="1:17" ht="12">
      <c r="A67" s="33" t="s">
        <v>273</v>
      </c>
      <c r="B67" s="33" t="s">
        <v>274</v>
      </c>
      <c r="C67" s="33" t="s">
        <v>575</v>
      </c>
      <c r="D67" s="33" t="s">
        <v>578</v>
      </c>
      <c r="E67" s="33" t="s">
        <v>576</v>
      </c>
      <c r="F67" s="17"/>
      <c r="G67" s="33" t="s">
        <v>275</v>
      </c>
      <c r="H67" s="41">
        <v>2014</v>
      </c>
      <c r="I67" s="33" t="s">
        <v>276</v>
      </c>
      <c r="J67" s="33" t="s">
        <v>277</v>
      </c>
      <c r="K67" s="33" t="s">
        <v>524</v>
      </c>
      <c r="L67" s="73" t="s">
        <v>279</v>
      </c>
      <c r="M67" s="138" t="s">
        <v>73</v>
      </c>
      <c r="N67" s="138" t="s">
        <v>580</v>
      </c>
      <c r="O67" s="138" t="s">
        <v>277</v>
      </c>
      <c r="P67" s="138" t="s">
        <v>521</v>
      </c>
      <c r="Q67" s="138"/>
    </row>
    <row r="68" spans="1:17" ht="12">
      <c r="A68" s="25" t="s">
        <v>280</v>
      </c>
      <c r="B68" s="22"/>
      <c r="C68" s="22"/>
      <c r="D68" s="25" t="s">
        <v>577</v>
      </c>
      <c r="E68" s="25" t="s">
        <v>955</v>
      </c>
      <c r="F68" s="21"/>
      <c r="G68" s="22"/>
      <c r="H68" s="21" t="s">
        <v>73</v>
      </c>
      <c r="I68" s="17" t="s">
        <v>57</v>
      </c>
      <c r="J68" s="17"/>
      <c r="K68" s="17" t="s">
        <v>58</v>
      </c>
      <c r="L68" s="76" t="s">
        <v>387</v>
      </c>
      <c r="M68" s="402" t="str">
        <f>+V4</f>
        <v>31.12.2014.г.</v>
      </c>
      <c r="N68" s="138" t="s">
        <v>57</v>
      </c>
      <c r="O68" s="402" t="str">
        <f>+V4</f>
        <v>31.12.2014.г.</v>
      </c>
      <c r="P68" s="402" t="str">
        <f>+V4</f>
        <v>31.12.2014.г.</v>
      </c>
      <c r="Q68" s="402" t="str">
        <f>+V4</f>
        <v>31.12.2014.г.</v>
      </c>
    </row>
    <row r="69" spans="1:17" ht="12">
      <c r="A69" s="161">
        <v>1</v>
      </c>
      <c r="B69" s="26">
        <v>2</v>
      </c>
      <c r="C69" s="26">
        <v>3</v>
      </c>
      <c r="D69" s="26">
        <v>4</v>
      </c>
      <c r="E69" s="26">
        <v>5</v>
      </c>
      <c r="F69" s="99" t="s">
        <v>286</v>
      </c>
      <c r="G69" s="26">
        <v>7</v>
      </c>
      <c r="H69" s="405">
        <v>8</v>
      </c>
      <c r="I69" s="405">
        <v>9</v>
      </c>
      <c r="J69" s="405">
        <v>10</v>
      </c>
      <c r="K69" s="405">
        <v>11</v>
      </c>
      <c r="L69" s="44">
        <v>12</v>
      </c>
      <c r="M69" s="44">
        <v>13</v>
      </c>
      <c r="N69" s="44">
        <v>14</v>
      </c>
      <c r="O69" s="44">
        <v>15</v>
      </c>
      <c r="P69" s="44">
        <v>16</v>
      </c>
      <c r="Q69" s="73">
        <v>16</v>
      </c>
    </row>
    <row r="70" spans="1:17" ht="14.25" customHeight="1">
      <c r="A70" s="79">
        <v>1</v>
      </c>
      <c r="B70" s="2">
        <v>1</v>
      </c>
      <c r="C70" s="5"/>
      <c r="E70" s="9"/>
      <c r="F70" s="95"/>
      <c r="G70" s="42" t="s">
        <v>281</v>
      </c>
      <c r="H70" s="10">
        <f>+H108</f>
        <v>13056000</v>
      </c>
      <c r="I70" s="10">
        <f aca="true" t="shared" si="42" ref="I70:P70">+I108</f>
        <v>0</v>
      </c>
      <c r="J70" s="10">
        <f t="shared" si="42"/>
        <v>1600000</v>
      </c>
      <c r="K70" s="10">
        <f t="shared" si="42"/>
        <v>0</v>
      </c>
      <c r="L70" s="10">
        <f t="shared" si="42"/>
        <v>14656000</v>
      </c>
      <c r="M70" s="52">
        <f t="shared" si="42"/>
        <v>11244874.36</v>
      </c>
      <c r="N70" s="52">
        <f t="shared" si="42"/>
        <v>0</v>
      </c>
      <c r="O70" s="52">
        <f t="shared" si="42"/>
        <v>1500000</v>
      </c>
      <c r="P70" s="52">
        <f t="shared" si="42"/>
        <v>0</v>
      </c>
      <c r="Q70" s="61">
        <f>+Q108</f>
        <v>436297.85</v>
      </c>
    </row>
    <row r="71" spans="1:17" ht="14.25" customHeight="1">
      <c r="A71" s="79"/>
      <c r="B71" s="2"/>
      <c r="C71" s="5"/>
      <c r="E71" s="9"/>
      <c r="F71" s="95"/>
      <c r="G71" s="9"/>
      <c r="Q71" s="71"/>
    </row>
    <row r="72" spans="1:17" ht="14.25" customHeight="1">
      <c r="A72" s="79">
        <v>2</v>
      </c>
      <c r="B72" s="2">
        <v>2</v>
      </c>
      <c r="C72" s="5"/>
      <c r="E72" s="9"/>
      <c r="F72" s="95"/>
      <c r="G72" s="9" t="s">
        <v>581</v>
      </c>
      <c r="H72" s="10">
        <f aca="true" t="shared" si="43" ref="H72:Q72">+H166</f>
        <v>32838915.33</v>
      </c>
      <c r="I72" s="10">
        <f t="shared" si="43"/>
        <v>0</v>
      </c>
      <c r="J72" s="10">
        <f t="shared" si="43"/>
        <v>100000</v>
      </c>
      <c r="K72" s="10">
        <f t="shared" si="43"/>
        <v>0</v>
      </c>
      <c r="L72" s="10">
        <f t="shared" si="43"/>
        <v>32938915.33</v>
      </c>
      <c r="M72" s="52">
        <f t="shared" si="43"/>
        <v>23280366.669999998</v>
      </c>
      <c r="N72" s="52">
        <f t="shared" si="43"/>
        <v>0</v>
      </c>
      <c r="O72" s="52">
        <f t="shared" si="43"/>
        <v>0</v>
      </c>
      <c r="P72" s="52">
        <f t="shared" si="43"/>
        <v>0</v>
      </c>
      <c r="Q72" s="62">
        <f t="shared" si="43"/>
        <v>1991311.8699999999</v>
      </c>
    </row>
    <row r="73" spans="1:17" ht="12">
      <c r="A73" s="79"/>
      <c r="B73" s="2"/>
      <c r="C73" s="5"/>
      <c r="E73" s="9"/>
      <c r="F73" s="95"/>
      <c r="H73" s="10"/>
      <c r="I73" s="52"/>
      <c r="J73" s="52"/>
      <c r="K73" s="52"/>
      <c r="M73" s="52"/>
      <c r="N73" s="52"/>
      <c r="O73" s="52"/>
      <c r="P73" s="52"/>
      <c r="Q73" s="62"/>
    </row>
    <row r="74" spans="1:17" ht="12">
      <c r="A74" s="79">
        <v>3</v>
      </c>
      <c r="B74" s="2">
        <v>3</v>
      </c>
      <c r="C74" s="5"/>
      <c r="E74" s="9"/>
      <c r="F74" s="95"/>
      <c r="G74" s="9" t="s">
        <v>283</v>
      </c>
      <c r="H74" s="10">
        <f aca="true" t="shared" si="44" ref="H74:Q74">+H189</f>
        <v>9582000</v>
      </c>
      <c r="I74" s="10">
        <f t="shared" si="44"/>
        <v>0</v>
      </c>
      <c r="J74" s="10">
        <f t="shared" si="44"/>
        <v>200000</v>
      </c>
      <c r="K74" s="10">
        <f t="shared" si="44"/>
        <v>0</v>
      </c>
      <c r="L74" s="10">
        <f t="shared" si="44"/>
        <v>9782000</v>
      </c>
      <c r="M74" s="52">
        <f t="shared" si="44"/>
        <v>6428548.709999999</v>
      </c>
      <c r="N74" s="52">
        <f t="shared" si="44"/>
        <v>0</v>
      </c>
      <c r="O74" s="52">
        <f t="shared" si="44"/>
        <v>0</v>
      </c>
      <c r="P74" s="52">
        <f t="shared" si="44"/>
        <v>0</v>
      </c>
      <c r="Q74" s="62">
        <f t="shared" si="44"/>
        <v>1226021.6</v>
      </c>
    </row>
    <row r="75" spans="1:17" ht="12">
      <c r="A75" s="79"/>
      <c r="B75" s="2"/>
      <c r="C75" s="5"/>
      <c r="E75" s="9"/>
      <c r="F75" s="95"/>
      <c r="G75" s="9"/>
      <c r="H75" s="10"/>
      <c r="I75" s="52"/>
      <c r="J75" s="52"/>
      <c r="K75" s="52"/>
      <c r="M75" s="52"/>
      <c r="N75" s="52"/>
      <c r="O75" s="52"/>
      <c r="P75" s="52"/>
      <c r="Q75" s="62"/>
    </row>
    <row r="76" spans="1:17" ht="12">
      <c r="A76" s="79">
        <v>4</v>
      </c>
      <c r="B76" s="2">
        <v>4</v>
      </c>
      <c r="C76" s="5"/>
      <c r="E76" s="9"/>
      <c r="F76" s="95"/>
      <c r="G76" s="9" t="s">
        <v>284</v>
      </c>
      <c r="H76" s="10">
        <f aca="true" t="shared" si="45" ref="H76:Q76">+H1041</f>
        <v>767926858.0699999</v>
      </c>
      <c r="I76" s="10">
        <f t="shared" si="45"/>
        <v>62287000</v>
      </c>
      <c r="J76" s="10">
        <f t="shared" si="45"/>
        <v>86599476.46000001</v>
      </c>
      <c r="K76" s="10">
        <f t="shared" si="45"/>
        <v>72634661</v>
      </c>
      <c r="L76" s="10">
        <f t="shared" si="45"/>
        <v>989434433.53</v>
      </c>
      <c r="M76" s="52">
        <f t="shared" si="45"/>
        <v>616379913.59</v>
      </c>
      <c r="N76" s="52">
        <f t="shared" si="45"/>
        <v>39067437.71000001</v>
      </c>
      <c r="O76" s="52">
        <f t="shared" si="45"/>
        <v>40554451.82</v>
      </c>
      <c r="P76" s="52">
        <f t="shared" si="45"/>
        <v>29301266.91</v>
      </c>
      <c r="Q76" s="407">
        <f t="shared" si="45"/>
        <v>62186200.09</v>
      </c>
    </row>
    <row r="77" spans="1:18" ht="12.75" thickBot="1">
      <c r="A77" s="77"/>
      <c r="B77" s="77"/>
      <c r="C77" s="77"/>
      <c r="D77" s="78"/>
      <c r="E77" s="78"/>
      <c r="F77" s="110"/>
      <c r="G77" s="78" t="s">
        <v>582</v>
      </c>
      <c r="H77" s="413">
        <f aca="true" t="shared" si="46" ref="H77:Q77">SUM(H70:H76)</f>
        <v>823403773.4</v>
      </c>
      <c r="I77" s="413">
        <f t="shared" si="46"/>
        <v>62287000</v>
      </c>
      <c r="J77" s="413">
        <f t="shared" si="46"/>
        <v>88499476.46000001</v>
      </c>
      <c r="K77" s="413">
        <f t="shared" si="46"/>
        <v>72634661</v>
      </c>
      <c r="L77" s="413">
        <f t="shared" si="46"/>
        <v>1046811348.86</v>
      </c>
      <c r="M77" s="498">
        <f t="shared" si="46"/>
        <v>657333703.33</v>
      </c>
      <c r="N77" s="498">
        <f t="shared" si="46"/>
        <v>39067437.71000001</v>
      </c>
      <c r="O77" s="498">
        <f t="shared" si="46"/>
        <v>42054451.82</v>
      </c>
      <c r="P77" s="498">
        <f t="shared" si="46"/>
        <v>29301266.91</v>
      </c>
      <c r="Q77" s="448">
        <f t="shared" si="46"/>
        <v>65839831.410000004</v>
      </c>
      <c r="R77" s="52"/>
    </row>
    <row r="78" spans="1:17" ht="12.75" hidden="1" thickTop="1">
      <c r="A78" s="5"/>
      <c r="B78" s="5"/>
      <c r="C78" s="5"/>
      <c r="D78" s="9"/>
      <c r="E78" s="9"/>
      <c r="F78" s="95"/>
      <c r="G78" s="9"/>
      <c r="H78" s="10">
        <f>+H58-H77</f>
        <v>0</v>
      </c>
      <c r="I78" s="10">
        <f>+I58-I77</f>
        <v>0</v>
      </c>
      <c r="J78" s="10">
        <f>+J58-J77</f>
        <v>0</v>
      </c>
      <c r="K78" s="10"/>
      <c r="L78" s="10">
        <f>+L58-L77</f>
        <v>0</v>
      </c>
      <c r="M78" s="10">
        <f>+M58-M77</f>
        <v>0</v>
      </c>
      <c r="N78" s="10"/>
      <c r="O78" s="10">
        <f>+O58-O77</f>
        <v>0</v>
      </c>
      <c r="P78" s="10">
        <f>+P58-P77</f>
        <v>0</v>
      </c>
      <c r="Q78" s="10">
        <f>+Q58-Q77</f>
        <v>-65839831.410000004</v>
      </c>
    </row>
    <row r="79" spans="1:17" ht="12.75" thickTop="1">
      <c r="A79" s="5"/>
      <c r="B79" s="5"/>
      <c r="C79" s="5"/>
      <c r="D79" s="9"/>
      <c r="E79" s="9"/>
      <c r="F79" s="95"/>
      <c r="G79" s="9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4" ht="12">
      <c r="A80" s="5"/>
      <c r="B80" s="5"/>
      <c r="C80" s="5"/>
      <c r="D80" s="9"/>
      <c r="E80" s="9"/>
      <c r="F80" s="95"/>
      <c r="G80" s="9"/>
      <c r="H80" s="52"/>
      <c r="I80" s="52"/>
      <c r="J80" s="52"/>
      <c r="K80" s="52"/>
      <c r="M80" s="52"/>
      <c r="N80" s="52"/>
    </row>
    <row r="81" spans="1:9" ht="12">
      <c r="A81" s="5" t="s">
        <v>958</v>
      </c>
      <c r="B81" s="5"/>
      <c r="C81" s="5"/>
      <c r="D81" s="5"/>
      <c r="E81" s="5"/>
      <c r="F81" s="104"/>
      <c r="G81" s="5"/>
      <c r="H81" s="68"/>
      <c r="I81" s="67"/>
    </row>
    <row r="82" spans="1:25" ht="12">
      <c r="A82" s="143"/>
      <c r="B82" s="70"/>
      <c r="C82" s="70"/>
      <c r="D82" s="70"/>
      <c r="E82" s="24"/>
      <c r="F82" s="109"/>
      <c r="G82" s="34"/>
      <c r="H82" s="11" t="s">
        <v>450</v>
      </c>
      <c r="I82" s="11" t="s">
        <v>271</v>
      </c>
      <c r="J82" s="11" t="s">
        <v>271</v>
      </c>
      <c r="K82" s="11" t="s">
        <v>523</v>
      </c>
      <c r="L82" s="46" t="s">
        <v>272</v>
      </c>
      <c r="M82" s="385" t="s">
        <v>527</v>
      </c>
      <c r="N82" s="385" t="s">
        <v>528</v>
      </c>
      <c r="O82" s="385" t="s">
        <v>528</v>
      </c>
      <c r="P82" s="385" t="s">
        <v>528</v>
      </c>
      <c r="Q82" s="385" t="s">
        <v>364</v>
      </c>
      <c r="R82" s="538" t="s">
        <v>62</v>
      </c>
      <c r="S82" s="385" t="s">
        <v>355</v>
      </c>
      <c r="T82" s="385" t="s">
        <v>358</v>
      </c>
      <c r="U82" s="97"/>
      <c r="V82" s="97"/>
      <c r="W82" s="97"/>
      <c r="X82" s="97"/>
      <c r="Y82" s="97"/>
    </row>
    <row r="83" spans="1:25" ht="12">
      <c r="A83" s="162" t="s">
        <v>273</v>
      </c>
      <c r="B83" s="33" t="s">
        <v>274</v>
      </c>
      <c r="C83" s="33" t="s">
        <v>575</v>
      </c>
      <c r="D83" s="33" t="s">
        <v>578</v>
      </c>
      <c r="E83" s="33" t="s">
        <v>576</v>
      </c>
      <c r="F83" s="17" t="s">
        <v>583</v>
      </c>
      <c r="G83" s="33" t="s">
        <v>275</v>
      </c>
      <c r="H83" s="41">
        <v>2014</v>
      </c>
      <c r="I83" s="33" t="s">
        <v>276</v>
      </c>
      <c r="J83" s="33" t="s">
        <v>277</v>
      </c>
      <c r="K83" s="33" t="s">
        <v>524</v>
      </c>
      <c r="L83" s="73" t="s">
        <v>279</v>
      </c>
      <c r="M83" s="138" t="s">
        <v>73</v>
      </c>
      <c r="N83" s="138" t="s">
        <v>580</v>
      </c>
      <c r="O83" s="138" t="s">
        <v>277</v>
      </c>
      <c r="P83" s="138" t="s">
        <v>521</v>
      </c>
      <c r="Q83" s="138"/>
      <c r="R83" s="539" t="s">
        <v>437</v>
      </c>
      <c r="S83" s="138" t="s">
        <v>356</v>
      </c>
      <c r="T83" s="138" t="s">
        <v>359</v>
      </c>
      <c r="U83" s="97"/>
      <c r="V83" s="97"/>
      <c r="W83" s="97"/>
      <c r="X83" s="97"/>
      <c r="Y83" s="97"/>
    </row>
    <row r="84" spans="1:25" ht="12">
      <c r="A84" s="163" t="s">
        <v>280</v>
      </c>
      <c r="B84" s="22"/>
      <c r="C84" s="22"/>
      <c r="D84" s="25" t="s">
        <v>577</v>
      </c>
      <c r="E84" s="25" t="s">
        <v>955</v>
      </c>
      <c r="F84" s="21" t="s">
        <v>956</v>
      </c>
      <c r="G84" s="22"/>
      <c r="H84" s="21" t="s">
        <v>73</v>
      </c>
      <c r="I84" s="17" t="s">
        <v>57</v>
      </c>
      <c r="J84" s="17"/>
      <c r="K84" s="17" t="s">
        <v>58</v>
      </c>
      <c r="L84" s="76" t="s">
        <v>387</v>
      </c>
      <c r="M84" s="403" t="str">
        <f>+V4</f>
        <v>31.12.2014.г.</v>
      </c>
      <c r="N84" s="138" t="s">
        <v>57</v>
      </c>
      <c r="O84" s="403" t="str">
        <f>+V4</f>
        <v>31.12.2014.г.</v>
      </c>
      <c r="P84" s="403" t="str">
        <f>+V4</f>
        <v>31.12.2014.г.</v>
      </c>
      <c r="Q84" s="402" t="str">
        <f>+V4</f>
        <v>31.12.2014.г.</v>
      </c>
      <c r="R84" s="540"/>
      <c r="S84" s="76" t="s">
        <v>357</v>
      </c>
      <c r="T84" s="119"/>
      <c r="U84" s="97"/>
      <c r="V84" s="97"/>
      <c r="W84" s="97"/>
      <c r="X84" s="97"/>
      <c r="Y84" s="97"/>
    </row>
    <row r="85" spans="1:25" ht="12">
      <c r="A85" s="161">
        <v>1</v>
      </c>
      <c r="B85" s="26">
        <v>2</v>
      </c>
      <c r="C85" s="26">
        <v>3</v>
      </c>
      <c r="D85" s="26">
        <v>4</v>
      </c>
      <c r="E85" s="26">
        <v>5</v>
      </c>
      <c r="F85" s="99" t="s">
        <v>286</v>
      </c>
      <c r="G85" s="26">
        <v>7</v>
      </c>
      <c r="H85" s="405">
        <v>8</v>
      </c>
      <c r="I85" s="405">
        <v>9</v>
      </c>
      <c r="J85" s="405">
        <v>10</v>
      </c>
      <c r="K85" s="405">
        <v>11</v>
      </c>
      <c r="L85" s="44">
        <v>12</v>
      </c>
      <c r="M85" s="44">
        <v>13</v>
      </c>
      <c r="N85" s="44">
        <v>14</v>
      </c>
      <c r="O85" s="44">
        <v>15</v>
      </c>
      <c r="P85" s="44">
        <v>16</v>
      </c>
      <c r="Q85" s="73">
        <v>16</v>
      </c>
      <c r="R85" s="541">
        <v>17</v>
      </c>
      <c r="S85" s="97"/>
      <c r="T85" s="97"/>
      <c r="U85" s="97"/>
      <c r="V85" s="97"/>
      <c r="W85" s="97"/>
      <c r="X85" s="97"/>
      <c r="Y85" s="97"/>
    </row>
    <row r="86" spans="1:20" ht="12">
      <c r="A86" s="80"/>
      <c r="B86" s="80">
        <v>1</v>
      </c>
      <c r="C86" s="80"/>
      <c r="D86" s="81"/>
      <c r="E86" s="81"/>
      <c r="F86" s="111"/>
      <c r="G86" s="82" t="s">
        <v>588</v>
      </c>
      <c r="H86" s="399"/>
      <c r="I86" s="399"/>
      <c r="J86" s="399"/>
      <c r="K86" s="399"/>
      <c r="L86" s="81"/>
      <c r="M86" s="81"/>
      <c r="N86" s="81"/>
      <c r="O86" s="81"/>
      <c r="P86" s="81"/>
      <c r="Q86" s="81"/>
      <c r="R86" s="435"/>
      <c r="S86" s="52"/>
      <c r="T86" s="52"/>
    </row>
    <row r="87" spans="1:20" ht="12">
      <c r="A87" s="83"/>
      <c r="B87" s="83"/>
      <c r="C87" s="83"/>
      <c r="D87" s="84">
        <v>111</v>
      </c>
      <c r="E87" s="81"/>
      <c r="F87" s="111"/>
      <c r="G87" s="432" t="s">
        <v>764</v>
      </c>
      <c r="H87" s="399"/>
      <c r="I87" s="399"/>
      <c r="J87" s="399"/>
      <c r="K87" s="399"/>
      <c r="L87" s="81"/>
      <c r="M87" s="388"/>
      <c r="N87" s="388"/>
      <c r="O87" s="388"/>
      <c r="P87" s="388"/>
      <c r="Q87" s="388"/>
      <c r="R87" s="435"/>
      <c r="S87" s="52"/>
      <c r="T87" s="52"/>
    </row>
    <row r="88" spans="1:35" ht="12">
      <c r="A88" s="80">
        <v>1</v>
      </c>
      <c r="B88" s="80"/>
      <c r="C88" s="80"/>
      <c r="D88" s="80"/>
      <c r="E88" s="85">
        <v>411</v>
      </c>
      <c r="F88" s="125"/>
      <c r="G88" s="83" t="s">
        <v>683</v>
      </c>
      <c r="H88" s="86">
        <v>2448000</v>
      </c>
      <c r="I88" s="399"/>
      <c r="J88" s="399"/>
      <c r="K88" s="399"/>
      <c r="L88" s="86">
        <f>+H88+I88+J88+K88</f>
        <v>2448000</v>
      </c>
      <c r="M88" s="86">
        <v>2417351.94</v>
      </c>
      <c r="N88" s="86"/>
      <c r="O88" s="86"/>
      <c r="P88" s="86"/>
      <c r="Q88" s="86"/>
      <c r="R88" s="435">
        <f>+M88/H88*100</f>
        <v>98.74803676470589</v>
      </c>
      <c r="S88" s="52"/>
      <c r="T88" s="52"/>
      <c r="V88" s="52">
        <f>+H88-(M88+Q88)</f>
        <v>30648.060000000056</v>
      </c>
      <c r="AI88" s="52"/>
    </row>
    <row r="89" spans="1:35" ht="12">
      <c r="A89" s="80">
        <f>A88+1</f>
        <v>2</v>
      </c>
      <c r="B89" s="80"/>
      <c r="C89" s="80"/>
      <c r="D89" s="80"/>
      <c r="E89" s="85">
        <v>412</v>
      </c>
      <c r="F89" s="125"/>
      <c r="G89" s="83" t="s">
        <v>551</v>
      </c>
      <c r="H89" s="86">
        <f>337000+T89</f>
        <v>311000</v>
      </c>
      <c r="I89" s="399"/>
      <c r="J89" s="399"/>
      <c r="K89" s="399"/>
      <c r="L89" s="86">
        <f aca="true" t="shared" si="47" ref="L89:L96">+H89+I89+J89+K89</f>
        <v>311000</v>
      </c>
      <c r="M89" s="86">
        <v>273666.36</v>
      </c>
      <c r="N89" s="86"/>
      <c r="O89" s="86"/>
      <c r="P89" s="86"/>
      <c r="Q89" s="86"/>
      <c r="R89" s="435">
        <f>+M89/H89*100</f>
        <v>87.99561414790996</v>
      </c>
      <c r="S89" s="52"/>
      <c r="T89" s="52">
        <v>-26000</v>
      </c>
      <c r="V89" s="52">
        <f aca="true" t="shared" si="48" ref="V89:V152">+H89-(M89+Q89)</f>
        <v>37333.640000000014</v>
      </c>
      <c r="AI89" s="52"/>
    </row>
    <row r="90" spans="1:35" ht="12">
      <c r="A90" s="80">
        <f>A89+1</f>
        <v>3</v>
      </c>
      <c r="B90" s="80"/>
      <c r="C90" s="80"/>
      <c r="D90" s="80"/>
      <c r="E90" s="85">
        <v>414</v>
      </c>
      <c r="F90" s="112"/>
      <c r="G90" s="83" t="s">
        <v>684</v>
      </c>
      <c r="H90" s="86"/>
      <c r="I90" s="399"/>
      <c r="J90" s="399">
        <v>100000</v>
      </c>
      <c r="K90" s="399"/>
      <c r="L90" s="86">
        <f t="shared" si="47"/>
        <v>100000</v>
      </c>
      <c r="M90" s="86"/>
      <c r="N90" s="86"/>
      <c r="O90" s="86"/>
      <c r="P90" s="86"/>
      <c r="Q90" s="86"/>
      <c r="R90" s="435"/>
      <c r="S90" s="52"/>
      <c r="T90" s="52"/>
      <c r="V90" s="52">
        <f t="shared" si="48"/>
        <v>0</v>
      </c>
      <c r="AI90" s="52"/>
    </row>
    <row r="91" spans="1:35" ht="12">
      <c r="A91" s="80">
        <f>A90+1</f>
        <v>4</v>
      </c>
      <c r="B91" s="80"/>
      <c r="C91" s="80"/>
      <c r="D91" s="80"/>
      <c r="E91" s="85">
        <v>4171</v>
      </c>
      <c r="F91" s="125"/>
      <c r="G91" s="83" t="s">
        <v>753</v>
      </c>
      <c r="H91" s="399">
        <v>4960000</v>
      </c>
      <c r="I91" s="399"/>
      <c r="J91" s="399">
        <v>1500000</v>
      </c>
      <c r="K91" s="399"/>
      <c r="L91" s="86">
        <f t="shared" si="47"/>
        <v>6460000</v>
      </c>
      <c r="M91" s="86">
        <v>4969359</v>
      </c>
      <c r="N91" s="86"/>
      <c r="O91" s="86">
        <v>1500000</v>
      </c>
      <c r="P91" s="86"/>
      <c r="Q91" s="86">
        <v>20237</v>
      </c>
      <c r="R91" s="435">
        <f aca="true" t="shared" si="49" ref="R91:R96">+M91/H91*100</f>
        <v>100.18868951612903</v>
      </c>
      <c r="S91" s="52"/>
      <c r="T91" s="52"/>
      <c r="V91" s="52">
        <f t="shared" si="48"/>
        <v>-29596</v>
      </c>
      <c r="AI91" s="52"/>
    </row>
    <row r="92" spans="1:35" ht="12">
      <c r="A92" s="80">
        <f>A91+1</f>
        <v>5</v>
      </c>
      <c r="B92" s="80"/>
      <c r="C92" s="80"/>
      <c r="D92" s="80"/>
      <c r="E92" s="85">
        <v>416132</v>
      </c>
      <c r="F92" s="125"/>
      <c r="G92" s="83" t="s">
        <v>754</v>
      </c>
      <c r="H92" s="399">
        <v>350000</v>
      </c>
      <c r="I92" s="399"/>
      <c r="J92" s="399"/>
      <c r="K92" s="399"/>
      <c r="L92" s="86">
        <f t="shared" si="47"/>
        <v>350000</v>
      </c>
      <c r="M92" s="86">
        <v>31884</v>
      </c>
      <c r="N92" s="86"/>
      <c r="O92" s="86"/>
      <c r="P92" s="86"/>
      <c r="Q92" s="86">
        <v>3948</v>
      </c>
      <c r="R92" s="435">
        <f t="shared" si="49"/>
        <v>9.109714285714286</v>
      </c>
      <c r="S92" s="52"/>
      <c r="T92" s="52"/>
      <c r="V92" s="52">
        <f t="shared" si="48"/>
        <v>314168</v>
      </c>
      <c r="AI92" s="52"/>
    </row>
    <row r="93" spans="1:35" ht="12">
      <c r="A93" s="80">
        <f aca="true" t="shared" si="50" ref="A93:A104">A92+1</f>
        <v>6</v>
      </c>
      <c r="B93" s="80"/>
      <c r="C93" s="80"/>
      <c r="D93" s="80"/>
      <c r="E93" s="85">
        <v>422</v>
      </c>
      <c r="F93" s="125"/>
      <c r="G93" s="83" t="s">
        <v>569</v>
      </c>
      <c r="H93" s="399">
        <f>100000+T93</f>
        <v>170000</v>
      </c>
      <c r="I93" s="399"/>
      <c r="J93" s="399"/>
      <c r="K93" s="399"/>
      <c r="L93" s="86">
        <f t="shared" si="47"/>
        <v>170000</v>
      </c>
      <c r="M93" s="86">
        <v>65548</v>
      </c>
      <c r="N93" s="86"/>
      <c r="O93" s="86"/>
      <c r="P93" s="86"/>
      <c r="Q93" s="86">
        <v>4264</v>
      </c>
      <c r="R93" s="435">
        <f t="shared" si="49"/>
        <v>38.55764705882353</v>
      </c>
      <c r="S93" s="52"/>
      <c r="T93" s="52">
        <v>70000</v>
      </c>
      <c r="V93" s="52">
        <f t="shared" si="48"/>
        <v>100188</v>
      </c>
      <c r="AI93" s="52"/>
    </row>
    <row r="94" spans="1:35" ht="12">
      <c r="A94" s="80">
        <f t="shared" si="50"/>
        <v>7</v>
      </c>
      <c r="B94" s="80"/>
      <c r="C94" s="80"/>
      <c r="D94" s="80"/>
      <c r="E94" s="85">
        <v>421</v>
      </c>
      <c r="F94" s="125"/>
      <c r="G94" s="83" t="s">
        <v>567</v>
      </c>
      <c r="H94" s="399">
        <v>210000</v>
      </c>
      <c r="I94" s="399"/>
      <c r="J94" s="399"/>
      <c r="K94" s="399"/>
      <c r="L94" s="86">
        <f t="shared" si="47"/>
        <v>210000</v>
      </c>
      <c r="M94" s="86">
        <v>95643.89</v>
      </c>
      <c r="N94" s="86"/>
      <c r="O94" s="86"/>
      <c r="P94" s="86"/>
      <c r="Q94" s="86">
        <v>33674.05</v>
      </c>
      <c r="R94" s="435">
        <f t="shared" si="49"/>
        <v>45.54470952380952</v>
      </c>
      <c r="S94" s="52"/>
      <c r="T94" s="52"/>
      <c r="V94" s="52">
        <f t="shared" si="48"/>
        <v>80682.06</v>
      </c>
      <c r="AI94" s="52"/>
    </row>
    <row r="95" spans="1:35" ht="12">
      <c r="A95" s="80">
        <f t="shared" si="50"/>
        <v>8</v>
      </c>
      <c r="B95" s="80"/>
      <c r="C95" s="80"/>
      <c r="D95" s="80"/>
      <c r="E95" s="85">
        <v>423</v>
      </c>
      <c r="F95" s="125"/>
      <c r="G95" s="83" t="s">
        <v>539</v>
      </c>
      <c r="H95" s="399">
        <f>3070000+T95</f>
        <v>3025000</v>
      </c>
      <c r="I95" s="399"/>
      <c r="J95" s="399"/>
      <c r="K95" s="399"/>
      <c r="L95" s="86">
        <f t="shared" si="47"/>
        <v>3025000</v>
      </c>
      <c r="M95" s="86">
        <v>2371588.5</v>
      </c>
      <c r="N95" s="86"/>
      <c r="O95" s="86"/>
      <c r="P95" s="86"/>
      <c r="Q95" s="86">
        <v>238407</v>
      </c>
      <c r="R95" s="435">
        <f t="shared" si="49"/>
        <v>78.39961983471075</v>
      </c>
      <c r="S95" s="52"/>
      <c r="T95" s="52">
        <v>-45000</v>
      </c>
      <c r="V95" s="52">
        <f t="shared" si="48"/>
        <v>415004.5</v>
      </c>
      <c r="AI95" s="52"/>
    </row>
    <row r="96" spans="1:35" ht="12">
      <c r="A96" s="80">
        <f t="shared" si="50"/>
        <v>9</v>
      </c>
      <c r="B96" s="80"/>
      <c r="C96" s="80"/>
      <c r="D96" s="80"/>
      <c r="E96" s="85">
        <v>423</v>
      </c>
      <c r="F96" s="125"/>
      <c r="G96" s="83" t="s">
        <v>553</v>
      </c>
      <c r="H96" s="399">
        <f>400000+200000+200000</f>
        <v>800000</v>
      </c>
      <c r="I96" s="399"/>
      <c r="J96" s="399"/>
      <c r="K96" s="399"/>
      <c r="L96" s="86">
        <f t="shared" si="47"/>
        <v>800000</v>
      </c>
      <c r="M96" s="86">
        <v>520459</v>
      </c>
      <c r="N96" s="86"/>
      <c r="O96" s="86"/>
      <c r="P96" s="86"/>
      <c r="Q96" s="86">
        <v>114445</v>
      </c>
      <c r="R96" s="435">
        <f t="shared" si="49"/>
        <v>65.057375</v>
      </c>
      <c r="S96" s="52"/>
      <c r="T96" s="52"/>
      <c r="V96" s="52">
        <f t="shared" si="48"/>
        <v>165096</v>
      </c>
      <c r="AI96" s="52"/>
    </row>
    <row r="97" spans="1:35" ht="12">
      <c r="A97" s="80">
        <f t="shared" si="50"/>
        <v>10</v>
      </c>
      <c r="B97" s="80"/>
      <c r="C97" s="80"/>
      <c r="D97" s="80"/>
      <c r="E97" s="85">
        <v>424</v>
      </c>
      <c r="F97" s="125"/>
      <c r="G97" s="83" t="s">
        <v>554</v>
      </c>
      <c r="H97" s="399"/>
      <c r="I97" s="399"/>
      <c r="J97" s="399"/>
      <c r="K97" s="399"/>
      <c r="L97" s="86"/>
      <c r="M97" s="86"/>
      <c r="N97" s="86"/>
      <c r="O97" s="86"/>
      <c r="P97" s="86"/>
      <c r="Q97" s="86"/>
      <c r="R97" s="435"/>
      <c r="S97" s="52"/>
      <c r="T97" s="52"/>
      <c r="V97" s="52">
        <f t="shared" si="48"/>
        <v>0</v>
      </c>
      <c r="AI97" s="52"/>
    </row>
    <row r="98" spans="1:35" ht="12">
      <c r="A98" s="80">
        <f t="shared" si="50"/>
        <v>11</v>
      </c>
      <c r="B98" s="80"/>
      <c r="C98" s="80"/>
      <c r="D98" s="80"/>
      <c r="E98" s="85">
        <v>425</v>
      </c>
      <c r="F98" s="125"/>
      <c r="G98" s="83" t="s">
        <v>540</v>
      </c>
      <c r="H98" s="399"/>
      <c r="I98" s="399"/>
      <c r="J98" s="399"/>
      <c r="K98" s="399"/>
      <c r="L98" s="86"/>
      <c r="M98" s="86"/>
      <c r="N98" s="86"/>
      <c r="O98" s="86"/>
      <c r="P98" s="86"/>
      <c r="Q98" s="86"/>
      <c r="R98" s="435"/>
      <c r="S98" s="52"/>
      <c r="T98" s="52"/>
      <c r="V98" s="52">
        <f t="shared" si="48"/>
        <v>0</v>
      </c>
      <c r="AI98" s="52"/>
    </row>
    <row r="99" spans="1:35" ht="12">
      <c r="A99" s="126">
        <f t="shared" si="50"/>
        <v>12</v>
      </c>
      <c r="B99" s="126"/>
      <c r="C99" s="126"/>
      <c r="D99" s="126"/>
      <c r="E99" s="127">
        <v>426</v>
      </c>
      <c r="F99" s="128"/>
      <c r="G99" s="129" t="s">
        <v>530</v>
      </c>
      <c r="H99" s="414">
        <f>430000+T99</f>
        <v>360000</v>
      </c>
      <c r="I99" s="414"/>
      <c r="J99" s="414"/>
      <c r="K99" s="414"/>
      <c r="L99" s="86">
        <f>+H99+I99+J99+K99</f>
        <v>360000</v>
      </c>
      <c r="M99" s="130">
        <v>144927.4</v>
      </c>
      <c r="N99" s="130"/>
      <c r="O99" s="130"/>
      <c r="P99" s="130"/>
      <c r="Q99" s="130">
        <v>18182.8</v>
      </c>
      <c r="R99" s="436">
        <f>+M99/H99*100</f>
        <v>40.25761111111111</v>
      </c>
      <c r="S99" s="52"/>
      <c r="T99" s="52">
        <v>-70000</v>
      </c>
      <c r="V99" s="52">
        <f t="shared" si="48"/>
        <v>196889.80000000002</v>
      </c>
      <c r="AI99" s="52"/>
    </row>
    <row r="100" spans="1:35" ht="12">
      <c r="A100" s="128" t="s">
        <v>425</v>
      </c>
      <c r="B100" s="24"/>
      <c r="C100" s="126"/>
      <c r="D100" s="24"/>
      <c r="E100" s="127">
        <v>465</v>
      </c>
      <c r="F100" s="109"/>
      <c r="G100" s="129" t="s">
        <v>558</v>
      </c>
      <c r="H100" s="414">
        <f>+S100+T100</f>
        <v>27000</v>
      </c>
      <c r="I100" s="415"/>
      <c r="J100" s="416"/>
      <c r="K100" s="416"/>
      <c r="L100" s="86">
        <f>+H100+I100+J100+K100</f>
        <v>27000</v>
      </c>
      <c r="M100" s="130">
        <v>11888.27</v>
      </c>
      <c r="N100" s="387"/>
      <c r="O100" s="387"/>
      <c r="P100" s="387"/>
      <c r="Q100" s="387"/>
      <c r="R100" s="436">
        <f>+M100/H100*100</f>
        <v>44.03062962962963</v>
      </c>
      <c r="S100" s="52">
        <v>1000</v>
      </c>
      <c r="T100" s="52">
        <v>26000</v>
      </c>
      <c r="V100" s="52">
        <f t="shared" si="48"/>
        <v>15111.73</v>
      </c>
      <c r="AI100" s="52"/>
    </row>
    <row r="101" spans="1:35" ht="12">
      <c r="A101" s="126">
        <f>A99+1</f>
        <v>13</v>
      </c>
      <c r="B101" s="24"/>
      <c r="C101" s="126"/>
      <c r="D101" s="24"/>
      <c r="E101" s="127">
        <v>482</v>
      </c>
      <c r="F101" s="109"/>
      <c r="G101" s="129" t="s">
        <v>541</v>
      </c>
      <c r="H101" s="414"/>
      <c r="I101" s="415"/>
      <c r="J101" s="416"/>
      <c r="K101" s="416"/>
      <c r="L101" s="130"/>
      <c r="M101" s="130"/>
      <c r="N101" s="387"/>
      <c r="O101" s="387"/>
      <c r="P101" s="387"/>
      <c r="Q101" s="387"/>
      <c r="R101" s="436"/>
      <c r="S101" s="52"/>
      <c r="T101" s="52"/>
      <c r="V101" s="52">
        <f t="shared" si="48"/>
        <v>0</v>
      </c>
      <c r="AI101" s="52"/>
    </row>
    <row r="102" spans="1:35" ht="12">
      <c r="A102" s="131"/>
      <c r="B102" s="25"/>
      <c r="C102" s="131"/>
      <c r="D102" s="25"/>
      <c r="E102" s="132"/>
      <c r="F102" s="21"/>
      <c r="G102" s="134" t="s">
        <v>604</v>
      </c>
      <c r="H102" s="417"/>
      <c r="I102" s="407"/>
      <c r="J102" s="418"/>
      <c r="K102" s="418"/>
      <c r="L102" s="135"/>
      <c r="M102" s="135"/>
      <c r="N102" s="392"/>
      <c r="O102" s="392"/>
      <c r="P102" s="392"/>
      <c r="Q102" s="392"/>
      <c r="R102" s="437"/>
      <c r="S102" s="52"/>
      <c r="T102" s="52"/>
      <c r="V102" s="52">
        <f t="shared" si="48"/>
        <v>0</v>
      </c>
      <c r="AI102" s="52"/>
    </row>
    <row r="103" spans="1:35" ht="12">
      <c r="A103" s="131">
        <f>A101+1</f>
        <v>14</v>
      </c>
      <c r="B103" s="131"/>
      <c r="C103" s="131"/>
      <c r="D103" s="131"/>
      <c r="E103" s="132">
        <v>483</v>
      </c>
      <c r="F103" s="133"/>
      <c r="G103" s="134" t="s">
        <v>570</v>
      </c>
      <c r="H103" s="417"/>
      <c r="I103" s="417"/>
      <c r="J103" s="417"/>
      <c r="K103" s="417"/>
      <c r="L103" s="135"/>
      <c r="M103" s="135"/>
      <c r="N103" s="135"/>
      <c r="O103" s="135"/>
      <c r="P103" s="135"/>
      <c r="Q103" s="135"/>
      <c r="R103" s="437"/>
      <c r="S103" s="52"/>
      <c r="T103" s="52"/>
      <c r="V103" s="52">
        <f t="shared" si="48"/>
        <v>0</v>
      </c>
      <c r="AI103" s="52"/>
    </row>
    <row r="104" spans="1:35" ht="12">
      <c r="A104" s="80">
        <f t="shared" si="50"/>
        <v>15</v>
      </c>
      <c r="B104" s="80"/>
      <c r="C104" s="80"/>
      <c r="D104" s="80"/>
      <c r="E104" s="85">
        <v>512</v>
      </c>
      <c r="F104" s="125"/>
      <c r="G104" s="83" t="s">
        <v>572</v>
      </c>
      <c r="H104" s="399">
        <f>50000+T104</f>
        <v>95000</v>
      </c>
      <c r="I104" s="399"/>
      <c r="J104" s="399"/>
      <c r="K104" s="399"/>
      <c r="L104" s="86">
        <f>+H104+I104+J104+K104</f>
        <v>95000</v>
      </c>
      <c r="M104" s="86">
        <v>76275</v>
      </c>
      <c r="N104" s="86"/>
      <c r="O104" s="86"/>
      <c r="P104" s="86"/>
      <c r="Q104" s="86"/>
      <c r="R104" s="435">
        <f>+M104/H104*100</f>
        <v>80.28947368421052</v>
      </c>
      <c r="S104" s="52"/>
      <c r="T104" s="52">
        <v>45000</v>
      </c>
      <c r="V104" s="52">
        <f t="shared" si="48"/>
        <v>18725</v>
      </c>
      <c r="AI104" s="52"/>
    </row>
    <row r="105" spans="1:35" ht="24">
      <c r="A105" s="136"/>
      <c r="B105" s="24"/>
      <c r="C105" s="24"/>
      <c r="D105" s="24"/>
      <c r="E105" s="38"/>
      <c r="F105" s="109"/>
      <c r="G105" s="505" t="s">
        <v>765</v>
      </c>
      <c r="H105" s="10"/>
      <c r="I105" s="10"/>
      <c r="J105" s="10"/>
      <c r="K105" s="10"/>
      <c r="L105" s="62"/>
      <c r="M105" s="62"/>
      <c r="N105" s="62"/>
      <c r="O105" s="62"/>
      <c r="P105" s="62"/>
      <c r="Q105" s="62"/>
      <c r="R105" s="435"/>
      <c r="S105" s="52"/>
      <c r="T105" s="52"/>
      <c r="V105" s="52">
        <f t="shared" si="48"/>
        <v>0</v>
      </c>
      <c r="AI105" s="52"/>
    </row>
    <row r="106" spans="1:35" ht="12">
      <c r="A106" s="125" t="s">
        <v>411</v>
      </c>
      <c r="B106" s="80"/>
      <c r="C106" s="80"/>
      <c r="D106" s="80"/>
      <c r="E106" s="85">
        <v>420</v>
      </c>
      <c r="F106" s="125"/>
      <c r="G106" s="83" t="s">
        <v>766</v>
      </c>
      <c r="H106" s="399">
        <v>159000</v>
      </c>
      <c r="I106" s="399"/>
      <c r="J106" s="399"/>
      <c r="K106" s="399"/>
      <c r="L106" s="86">
        <f>H106+I106+J106+K106</f>
        <v>159000</v>
      </c>
      <c r="M106" s="86">
        <v>125400</v>
      </c>
      <c r="N106" s="86"/>
      <c r="O106" s="86"/>
      <c r="P106" s="86"/>
      <c r="Q106" s="86">
        <v>3140</v>
      </c>
      <c r="R106" s="435">
        <f>+M106/H106*100</f>
        <v>78.8679245283019</v>
      </c>
      <c r="S106" s="52"/>
      <c r="T106" s="52"/>
      <c r="V106" s="52">
        <f t="shared" si="48"/>
        <v>30460</v>
      </c>
      <c r="AI106" s="52"/>
    </row>
    <row r="107" spans="1:35" ht="12">
      <c r="A107" s="125" t="s">
        <v>412</v>
      </c>
      <c r="B107" s="80"/>
      <c r="C107" s="80"/>
      <c r="D107" s="80"/>
      <c r="E107" s="85">
        <v>512</v>
      </c>
      <c r="F107" s="125"/>
      <c r="G107" s="83" t="s">
        <v>572</v>
      </c>
      <c r="H107" s="399">
        <v>141000</v>
      </c>
      <c r="I107" s="399"/>
      <c r="J107" s="399"/>
      <c r="K107" s="399"/>
      <c r="L107" s="86">
        <f>H107+I107+J107+K107</f>
        <v>141000</v>
      </c>
      <c r="M107" s="86">
        <v>140883</v>
      </c>
      <c r="N107" s="86"/>
      <c r="O107" s="86"/>
      <c r="P107" s="86"/>
      <c r="Q107" s="86"/>
      <c r="R107" s="435">
        <f>+M107/H107*100</f>
        <v>99.91702127659575</v>
      </c>
      <c r="S107" s="52"/>
      <c r="T107" s="52"/>
      <c r="V107" s="52">
        <f t="shared" si="48"/>
        <v>117</v>
      </c>
      <c r="AI107" s="52"/>
    </row>
    <row r="108" spans="1:35" ht="12">
      <c r="A108" s="33"/>
      <c r="B108" s="33"/>
      <c r="C108" s="33"/>
      <c r="D108" s="33"/>
      <c r="E108" s="20"/>
      <c r="F108" s="115"/>
      <c r="G108" s="9" t="s">
        <v>584</v>
      </c>
      <c r="H108" s="503">
        <f>SUM(H88:H107)</f>
        <v>13056000</v>
      </c>
      <c r="I108" s="503">
        <f>SUM(I88:I104)</f>
        <v>0</v>
      </c>
      <c r="J108" s="503">
        <f>SUM(J88:J104)</f>
        <v>1600000</v>
      </c>
      <c r="K108" s="503">
        <f>SUM(K88:K104)</f>
        <v>0</v>
      </c>
      <c r="L108" s="457">
        <f>+H108+I108+J108</f>
        <v>14656000</v>
      </c>
      <c r="M108" s="504">
        <f>+SUM(M88:M104)+M106+M107</f>
        <v>11244874.36</v>
      </c>
      <c r="N108" s="504"/>
      <c r="O108" s="504">
        <f>+SUM(O88:O104)</f>
        <v>1500000</v>
      </c>
      <c r="P108" s="504">
        <f>+SUM(P88:P104)</f>
        <v>0</v>
      </c>
      <c r="Q108" s="504">
        <f>SUM(Q88:Q107)</f>
        <v>436297.85</v>
      </c>
      <c r="R108" s="437">
        <f>+M108/H108*100</f>
        <v>86.12802052696078</v>
      </c>
      <c r="S108" s="52"/>
      <c r="T108" s="52"/>
      <c r="V108" s="52">
        <f t="shared" si="48"/>
        <v>1374827.790000001</v>
      </c>
      <c r="Y108" s="52"/>
      <c r="AI108" s="52"/>
    </row>
    <row r="109" spans="1:35" ht="12">
      <c r="A109" s="319"/>
      <c r="B109" s="34"/>
      <c r="C109" s="34"/>
      <c r="D109" s="70"/>
      <c r="E109" s="38"/>
      <c r="F109" s="114"/>
      <c r="G109" s="39" t="s">
        <v>685</v>
      </c>
      <c r="H109" s="415"/>
      <c r="I109" s="415"/>
      <c r="J109" s="415"/>
      <c r="K109" s="415"/>
      <c r="L109" s="415"/>
      <c r="M109" s="389"/>
      <c r="N109" s="389"/>
      <c r="O109" s="517"/>
      <c r="P109" s="389"/>
      <c r="Q109" s="389"/>
      <c r="R109" s="438"/>
      <c r="S109" s="52"/>
      <c r="T109" s="52"/>
      <c r="V109" s="52">
        <f t="shared" si="48"/>
        <v>0</v>
      </c>
      <c r="AI109" s="52"/>
    </row>
    <row r="110" spans="1:35" ht="12">
      <c r="A110" s="162"/>
      <c r="B110" s="9"/>
      <c r="C110" s="9"/>
      <c r="D110" s="71"/>
      <c r="E110" s="20"/>
      <c r="F110" s="17" t="s">
        <v>73</v>
      </c>
      <c r="G110" s="20" t="s">
        <v>674</v>
      </c>
      <c r="H110" s="10">
        <f>+H108</f>
        <v>13056000</v>
      </c>
      <c r="I110" s="10"/>
      <c r="J110" s="10"/>
      <c r="K110" s="10"/>
      <c r="L110" s="10"/>
      <c r="M110" s="62">
        <f>+M108</f>
        <v>11244874.36</v>
      </c>
      <c r="N110" s="62"/>
      <c r="O110" s="518"/>
      <c r="P110" s="390"/>
      <c r="Q110" s="390"/>
      <c r="R110" s="439"/>
      <c r="S110" s="52"/>
      <c r="T110" s="52"/>
      <c r="V110" s="52">
        <f t="shared" si="48"/>
        <v>1811125.6400000006</v>
      </c>
      <c r="Z110" s="52"/>
      <c r="AA110" s="52"/>
      <c r="AI110" s="52"/>
    </row>
    <row r="111" spans="1:35" ht="12">
      <c r="A111" s="162"/>
      <c r="B111" s="9"/>
      <c r="C111" s="9"/>
      <c r="D111" s="71"/>
      <c r="E111" s="20"/>
      <c r="F111" s="17" t="s">
        <v>268</v>
      </c>
      <c r="G111" s="20" t="s">
        <v>675</v>
      </c>
      <c r="H111" s="10"/>
      <c r="I111" s="10"/>
      <c r="J111" s="10">
        <f>+J108-J91</f>
        <v>100000</v>
      </c>
      <c r="K111" s="10"/>
      <c r="L111" s="10"/>
      <c r="M111" s="62"/>
      <c r="N111" s="62"/>
      <c r="O111" s="62">
        <f>+O108-O91</f>
        <v>0</v>
      </c>
      <c r="P111" s="390"/>
      <c r="Q111" s="390"/>
      <c r="R111" s="439"/>
      <c r="S111" s="52"/>
      <c r="T111" s="52"/>
      <c r="V111" s="52">
        <f t="shared" si="48"/>
        <v>0</v>
      </c>
      <c r="AI111" s="52"/>
    </row>
    <row r="112" spans="1:35" ht="12">
      <c r="A112" s="162"/>
      <c r="B112" s="9"/>
      <c r="C112" s="9"/>
      <c r="D112" s="71"/>
      <c r="E112" s="20"/>
      <c r="F112" s="17" t="s">
        <v>413</v>
      </c>
      <c r="G112" s="20" t="s">
        <v>767</v>
      </c>
      <c r="H112" s="10"/>
      <c r="I112" s="10"/>
      <c r="J112" s="10">
        <f>+J108-J90</f>
        <v>1500000</v>
      </c>
      <c r="K112" s="10"/>
      <c r="L112" s="10"/>
      <c r="M112" s="62"/>
      <c r="N112" s="62"/>
      <c r="O112" s="62">
        <f>+O108-O90</f>
        <v>1500000</v>
      </c>
      <c r="P112" s="390"/>
      <c r="Q112" s="390"/>
      <c r="R112" s="439"/>
      <c r="S112" s="52"/>
      <c r="T112" s="52"/>
      <c r="V112" s="52">
        <f t="shared" si="48"/>
        <v>0</v>
      </c>
      <c r="AI112" s="52"/>
    </row>
    <row r="113" spans="1:35" ht="12">
      <c r="A113" s="162"/>
      <c r="B113" s="9"/>
      <c r="C113" s="9"/>
      <c r="D113" s="71"/>
      <c r="E113" s="20"/>
      <c r="F113" s="115"/>
      <c r="G113" s="1" t="s">
        <v>650</v>
      </c>
      <c r="H113" s="10"/>
      <c r="I113" s="10"/>
      <c r="J113" s="10"/>
      <c r="K113" s="10"/>
      <c r="L113" s="10">
        <f>+H110+J111+J112</f>
        <v>14656000</v>
      </c>
      <c r="M113" s="62"/>
      <c r="N113" s="62"/>
      <c r="O113" s="62"/>
      <c r="P113" s="390"/>
      <c r="Q113" s="390"/>
      <c r="R113" s="439"/>
      <c r="S113" s="52"/>
      <c r="T113" s="52"/>
      <c r="V113" s="52">
        <f t="shared" si="48"/>
        <v>0</v>
      </c>
      <c r="AI113" s="52"/>
    </row>
    <row r="114" spans="1:35" ht="12">
      <c r="A114" s="162"/>
      <c r="B114" s="9"/>
      <c r="C114" s="9"/>
      <c r="D114" s="71"/>
      <c r="E114" s="20"/>
      <c r="F114" s="17" t="s">
        <v>73</v>
      </c>
      <c r="G114" s="20" t="s">
        <v>674</v>
      </c>
      <c r="H114" s="10">
        <f>+H110</f>
        <v>13056000</v>
      </c>
      <c r="I114" s="10"/>
      <c r="J114" s="10"/>
      <c r="K114" s="10"/>
      <c r="L114" s="10"/>
      <c r="M114" s="62">
        <f>+M108</f>
        <v>11244874.36</v>
      </c>
      <c r="N114" s="62"/>
      <c r="O114" s="62"/>
      <c r="P114" s="390"/>
      <c r="Q114" s="390"/>
      <c r="R114" s="439"/>
      <c r="S114" s="52"/>
      <c r="T114" s="52"/>
      <c r="V114" s="52">
        <f t="shared" si="48"/>
        <v>1811125.6400000006</v>
      </c>
      <c r="AI114" s="52"/>
    </row>
    <row r="115" spans="1:35" ht="12">
      <c r="A115" s="162"/>
      <c r="B115" s="9"/>
      <c r="C115" s="9"/>
      <c r="D115" s="71"/>
      <c r="E115" s="20"/>
      <c r="F115" s="17" t="s">
        <v>268</v>
      </c>
      <c r="G115" s="20" t="s">
        <v>676</v>
      </c>
      <c r="H115" s="10"/>
      <c r="I115" s="10"/>
      <c r="J115" s="10">
        <f>+J111</f>
        <v>100000</v>
      </c>
      <c r="K115" s="10"/>
      <c r="L115" s="10"/>
      <c r="M115" s="62"/>
      <c r="N115" s="62"/>
      <c r="O115" s="62">
        <f>+O111</f>
        <v>0</v>
      </c>
      <c r="P115" s="390"/>
      <c r="Q115" s="390"/>
      <c r="R115" s="439"/>
      <c r="S115" s="52"/>
      <c r="T115" s="52"/>
      <c r="V115" s="52">
        <f t="shared" si="48"/>
        <v>0</v>
      </c>
      <c r="AI115" s="52"/>
    </row>
    <row r="116" spans="1:35" ht="12">
      <c r="A116" s="162"/>
      <c r="B116" s="9"/>
      <c r="C116" s="9"/>
      <c r="D116" s="71"/>
      <c r="E116" s="20"/>
      <c r="F116" s="17" t="s">
        <v>413</v>
      </c>
      <c r="G116" s="20" t="s">
        <v>767</v>
      </c>
      <c r="H116" s="10"/>
      <c r="I116" s="10"/>
      <c r="J116" s="10">
        <f>+J112</f>
        <v>1500000</v>
      </c>
      <c r="K116" s="10"/>
      <c r="L116" s="10"/>
      <c r="M116" s="62"/>
      <c r="N116" s="62"/>
      <c r="O116" s="62">
        <f>+O112</f>
        <v>1500000</v>
      </c>
      <c r="P116" s="390"/>
      <c r="Q116" s="390"/>
      <c r="R116" s="439"/>
      <c r="S116" s="52"/>
      <c r="T116" s="52"/>
      <c r="V116" s="52">
        <f t="shared" si="48"/>
        <v>0</v>
      </c>
      <c r="AI116" s="52"/>
    </row>
    <row r="117" spans="1:35" ht="12">
      <c r="A117" s="163"/>
      <c r="B117" s="22"/>
      <c r="C117" s="22"/>
      <c r="D117" s="68"/>
      <c r="E117" s="23"/>
      <c r="F117" s="21"/>
      <c r="G117" s="90" t="s">
        <v>605</v>
      </c>
      <c r="H117" s="407"/>
      <c r="I117" s="407"/>
      <c r="J117" s="407"/>
      <c r="K117" s="407"/>
      <c r="L117" s="407">
        <f>+H114+J115+J116</f>
        <v>14656000</v>
      </c>
      <c r="M117" s="53"/>
      <c r="N117" s="53"/>
      <c r="O117" s="53"/>
      <c r="P117" s="53"/>
      <c r="Q117" s="391"/>
      <c r="R117" s="543">
        <f>+M114+O116</f>
        <v>12744874.36</v>
      </c>
      <c r="S117" s="52"/>
      <c r="T117" s="52"/>
      <c r="V117" s="52">
        <f t="shared" si="48"/>
        <v>0</v>
      </c>
      <c r="AI117" s="52"/>
    </row>
    <row r="118" spans="1:35" ht="12">
      <c r="A118" s="9"/>
      <c r="B118" s="9"/>
      <c r="C118" s="9"/>
      <c r="D118" s="71"/>
      <c r="E118" s="20"/>
      <c r="F118" s="115"/>
      <c r="G118" s="1"/>
      <c r="H118" s="10"/>
      <c r="I118" s="10"/>
      <c r="J118" s="10"/>
      <c r="K118" s="10"/>
      <c r="L118" s="10"/>
      <c r="S118" s="52"/>
      <c r="T118" s="52"/>
      <c r="V118" s="52">
        <f t="shared" si="48"/>
        <v>0</v>
      </c>
      <c r="AI118" s="52"/>
    </row>
    <row r="119" spans="1:35" ht="12">
      <c r="A119" s="80"/>
      <c r="B119" s="80">
        <v>2</v>
      </c>
      <c r="C119" s="80"/>
      <c r="D119" s="80"/>
      <c r="E119" s="81"/>
      <c r="F119" s="111"/>
      <c r="G119" s="87" t="s">
        <v>589</v>
      </c>
      <c r="H119" s="399"/>
      <c r="I119" s="399"/>
      <c r="J119" s="399"/>
      <c r="K119" s="399"/>
      <c r="L119" s="86"/>
      <c r="M119" s="86"/>
      <c r="N119" s="86"/>
      <c r="O119" s="86"/>
      <c r="P119" s="86"/>
      <c r="Q119" s="86"/>
      <c r="R119" s="435"/>
      <c r="S119" s="52"/>
      <c r="T119" s="52"/>
      <c r="V119" s="52">
        <f t="shared" si="48"/>
        <v>0</v>
      </c>
      <c r="AI119" s="52"/>
    </row>
    <row r="120" spans="1:35" ht="12">
      <c r="A120" s="80"/>
      <c r="B120" s="80"/>
      <c r="C120" s="80"/>
      <c r="D120" s="84">
        <v>111</v>
      </c>
      <c r="E120" s="81"/>
      <c r="F120" s="111"/>
      <c r="G120" s="432" t="s">
        <v>764</v>
      </c>
      <c r="H120" s="399"/>
      <c r="I120" s="399"/>
      <c r="J120" s="399"/>
      <c r="K120" s="399"/>
      <c r="L120" s="86"/>
      <c r="M120" s="86"/>
      <c r="N120" s="86"/>
      <c r="O120" s="86"/>
      <c r="P120" s="86"/>
      <c r="Q120" s="86"/>
      <c r="R120" s="435"/>
      <c r="S120" s="52"/>
      <c r="T120" s="52"/>
      <c r="V120" s="52">
        <f t="shared" si="48"/>
        <v>0</v>
      </c>
      <c r="AI120" s="52"/>
    </row>
    <row r="121" spans="1:35" ht="12">
      <c r="A121" s="80"/>
      <c r="B121" s="80"/>
      <c r="C121" s="80" t="s">
        <v>70</v>
      </c>
      <c r="D121" s="80"/>
      <c r="E121" s="81"/>
      <c r="F121" s="111"/>
      <c r="G121" s="87" t="s">
        <v>768</v>
      </c>
      <c r="H121" s="399"/>
      <c r="I121" s="399"/>
      <c r="J121" s="399"/>
      <c r="K121" s="399"/>
      <c r="L121" s="86"/>
      <c r="M121" s="86"/>
      <c r="N121" s="86"/>
      <c r="O121" s="86"/>
      <c r="P121" s="86"/>
      <c r="Q121" s="86"/>
      <c r="R121" s="435"/>
      <c r="S121" s="52"/>
      <c r="T121" s="52"/>
      <c r="V121" s="52">
        <f t="shared" si="48"/>
        <v>0</v>
      </c>
      <c r="AI121" s="52"/>
    </row>
    <row r="122" spans="1:35" ht="12">
      <c r="A122" s="80">
        <f>+A104+1</f>
        <v>16</v>
      </c>
      <c r="B122" s="80"/>
      <c r="C122" s="80"/>
      <c r="D122" s="80"/>
      <c r="E122" s="85">
        <v>411</v>
      </c>
      <c r="F122" s="125"/>
      <c r="G122" s="83" t="s">
        <v>683</v>
      </c>
      <c r="H122" s="86">
        <f>4019000+T122</f>
        <v>3997500</v>
      </c>
      <c r="I122" s="399"/>
      <c r="J122" s="399"/>
      <c r="K122" s="399"/>
      <c r="L122" s="86">
        <f aca="true" t="shared" si="51" ref="L122:L136">+H122+I122+J122+K122</f>
        <v>3997500</v>
      </c>
      <c r="M122" s="86">
        <v>3314856.53</v>
      </c>
      <c r="N122" s="86"/>
      <c r="O122" s="86"/>
      <c r="P122" s="86"/>
      <c r="Q122" s="86"/>
      <c r="R122" s="435">
        <f>+M122/H122*100</f>
        <v>82.92324027517198</v>
      </c>
      <c r="S122" s="52"/>
      <c r="T122" s="52">
        <v>-21500</v>
      </c>
      <c r="V122" s="52">
        <f t="shared" si="48"/>
        <v>682643.4700000002</v>
      </c>
      <c r="AI122" s="52"/>
    </row>
    <row r="123" spans="1:35" ht="12">
      <c r="A123" s="80">
        <f aca="true" t="shared" si="52" ref="A123:A134">A122+1</f>
        <v>17</v>
      </c>
      <c r="B123" s="80"/>
      <c r="C123" s="80"/>
      <c r="D123" s="80"/>
      <c r="E123" s="85">
        <v>412</v>
      </c>
      <c r="F123" s="125"/>
      <c r="G123" s="83" t="s">
        <v>551</v>
      </c>
      <c r="H123" s="86">
        <f>768000+T123</f>
        <v>763900</v>
      </c>
      <c r="I123" s="399"/>
      <c r="J123" s="399"/>
      <c r="K123" s="399"/>
      <c r="L123" s="86">
        <f t="shared" si="51"/>
        <v>763900</v>
      </c>
      <c r="M123" s="86">
        <v>593359.03</v>
      </c>
      <c r="N123" s="86"/>
      <c r="O123" s="86"/>
      <c r="P123" s="86"/>
      <c r="Q123" s="86"/>
      <c r="R123" s="435">
        <f>+M123/H123*100</f>
        <v>77.67496138237989</v>
      </c>
      <c r="S123" s="52"/>
      <c r="T123" s="52">
        <v>-4100</v>
      </c>
      <c r="V123" s="52">
        <f t="shared" si="48"/>
        <v>170540.96999999997</v>
      </c>
      <c r="AI123" s="52"/>
    </row>
    <row r="124" spans="1:35" ht="12">
      <c r="A124" s="80">
        <f t="shared" si="52"/>
        <v>18</v>
      </c>
      <c r="B124" s="80"/>
      <c r="C124" s="80"/>
      <c r="D124" s="80"/>
      <c r="E124" s="85">
        <v>414</v>
      </c>
      <c r="F124" s="112"/>
      <c r="G124" s="83" t="s">
        <v>684</v>
      </c>
      <c r="H124" s="86"/>
      <c r="I124" s="399"/>
      <c r="J124" s="399">
        <v>100000</v>
      </c>
      <c r="K124" s="399"/>
      <c r="L124" s="86">
        <f t="shared" si="51"/>
        <v>100000</v>
      </c>
      <c r="M124" s="86"/>
      <c r="N124" s="86"/>
      <c r="O124" s="86"/>
      <c r="P124" s="86"/>
      <c r="Q124" s="86"/>
      <c r="R124" s="435"/>
      <c r="S124" s="52"/>
      <c r="T124" s="52"/>
      <c r="V124" s="52">
        <f t="shared" si="48"/>
        <v>0</v>
      </c>
      <c r="AI124" s="52"/>
    </row>
    <row r="125" spans="1:35" ht="12">
      <c r="A125" s="80">
        <f t="shared" si="52"/>
        <v>19</v>
      </c>
      <c r="B125" s="80"/>
      <c r="C125" s="80"/>
      <c r="D125" s="80"/>
      <c r="E125" s="85">
        <v>416132</v>
      </c>
      <c r="F125" s="125"/>
      <c r="G125" s="83" t="s">
        <v>754</v>
      </c>
      <c r="H125" s="399">
        <f>200000+T125</f>
        <v>250000</v>
      </c>
      <c r="I125" s="399"/>
      <c r="J125" s="399"/>
      <c r="K125" s="399"/>
      <c r="L125" s="86">
        <f t="shared" si="51"/>
        <v>250000</v>
      </c>
      <c r="M125" s="86">
        <v>217827</v>
      </c>
      <c r="N125" s="86"/>
      <c r="O125" s="86"/>
      <c r="P125" s="86"/>
      <c r="Q125" s="86">
        <v>18988</v>
      </c>
      <c r="R125" s="435">
        <f aca="true" t="shared" si="53" ref="R125:R136">+M125/H125*100</f>
        <v>87.1308</v>
      </c>
      <c r="S125" s="52"/>
      <c r="T125" s="52">
        <v>50000</v>
      </c>
      <c r="V125" s="52">
        <f t="shared" si="48"/>
        <v>13185</v>
      </c>
      <c r="AI125" s="52"/>
    </row>
    <row r="126" spans="1:35" ht="12">
      <c r="A126" s="80">
        <f t="shared" si="52"/>
        <v>20</v>
      </c>
      <c r="B126" s="80"/>
      <c r="C126" s="80"/>
      <c r="D126" s="80"/>
      <c r="E126" s="85">
        <v>416131</v>
      </c>
      <c r="F126" s="125"/>
      <c r="G126" s="83" t="s">
        <v>755</v>
      </c>
      <c r="H126" s="399">
        <v>1960000</v>
      </c>
      <c r="I126" s="399"/>
      <c r="J126" s="399"/>
      <c r="K126" s="399"/>
      <c r="L126" s="86">
        <f t="shared" si="51"/>
        <v>1960000</v>
      </c>
      <c r="M126" s="86">
        <v>1544865</v>
      </c>
      <c r="N126" s="86"/>
      <c r="O126" s="86"/>
      <c r="P126" s="86"/>
      <c r="Q126" s="86">
        <v>59811</v>
      </c>
      <c r="R126" s="435">
        <f t="shared" si="53"/>
        <v>78.81964285714285</v>
      </c>
      <c r="S126" s="52"/>
      <c r="T126" s="52"/>
      <c r="V126" s="52">
        <f t="shared" si="48"/>
        <v>355324</v>
      </c>
      <c r="AI126" s="52"/>
    </row>
    <row r="127" spans="1:35" ht="12">
      <c r="A127" s="80">
        <f t="shared" si="52"/>
        <v>21</v>
      </c>
      <c r="B127" s="80"/>
      <c r="C127" s="80"/>
      <c r="D127" s="80"/>
      <c r="E127" s="85">
        <v>416</v>
      </c>
      <c r="F127" s="125"/>
      <c r="G127" s="83" t="s">
        <v>547</v>
      </c>
      <c r="H127" s="399">
        <v>600000</v>
      </c>
      <c r="I127" s="399"/>
      <c r="J127" s="399"/>
      <c r="K127" s="399"/>
      <c r="L127" s="86">
        <f t="shared" si="51"/>
        <v>600000</v>
      </c>
      <c r="M127" s="86">
        <v>355447</v>
      </c>
      <c r="N127" s="86"/>
      <c r="O127" s="86"/>
      <c r="P127" s="86"/>
      <c r="Q127" s="86"/>
      <c r="R127" s="435">
        <f t="shared" si="53"/>
        <v>59.241166666666665</v>
      </c>
      <c r="S127" s="52"/>
      <c r="T127" s="52"/>
      <c r="V127" s="52">
        <f t="shared" si="48"/>
        <v>244553</v>
      </c>
      <c r="AI127" s="52"/>
    </row>
    <row r="128" spans="1:35" ht="12">
      <c r="A128" s="80">
        <f t="shared" si="52"/>
        <v>22</v>
      </c>
      <c r="B128" s="80"/>
      <c r="C128" s="80"/>
      <c r="D128" s="80"/>
      <c r="E128" s="85">
        <v>422</v>
      </c>
      <c r="F128" s="125"/>
      <c r="G128" s="83" t="s">
        <v>569</v>
      </c>
      <c r="H128" s="399">
        <f>1600000+S128+T128</f>
        <v>1900000</v>
      </c>
      <c r="I128" s="399"/>
      <c r="J128" s="399"/>
      <c r="K128" s="399"/>
      <c r="L128" s="86">
        <f t="shared" si="51"/>
        <v>1900000</v>
      </c>
      <c r="M128" s="86">
        <v>1776286.65</v>
      </c>
      <c r="N128" s="86"/>
      <c r="O128" s="86"/>
      <c r="P128" s="86"/>
      <c r="Q128" s="86">
        <v>73583.54</v>
      </c>
      <c r="R128" s="435">
        <f t="shared" si="53"/>
        <v>93.48877105263156</v>
      </c>
      <c r="S128" s="52">
        <v>30000</v>
      </c>
      <c r="T128" s="52">
        <f>200000+70000</f>
        <v>270000</v>
      </c>
      <c r="V128" s="52">
        <f t="shared" si="48"/>
        <v>50129.810000000056</v>
      </c>
      <c r="AI128" s="52"/>
    </row>
    <row r="129" spans="1:35" ht="12">
      <c r="A129" s="80">
        <f t="shared" si="52"/>
        <v>23</v>
      </c>
      <c r="B129" s="80"/>
      <c r="C129" s="80"/>
      <c r="D129" s="80"/>
      <c r="E129" s="85">
        <v>421</v>
      </c>
      <c r="F129" s="125"/>
      <c r="G129" s="83" t="s">
        <v>567</v>
      </c>
      <c r="H129" s="399">
        <f>210000+150000</f>
        <v>360000</v>
      </c>
      <c r="I129" s="399"/>
      <c r="J129" s="399"/>
      <c r="K129" s="399"/>
      <c r="L129" s="86">
        <f t="shared" si="51"/>
        <v>360000</v>
      </c>
      <c r="M129" s="86">
        <v>310437.98</v>
      </c>
      <c r="N129" s="86"/>
      <c r="O129" s="86"/>
      <c r="P129" s="86"/>
      <c r="Q129" s="86">
        <v>37030.33</v>
      </c>
      <c r="R129" s="435">
        <f t="shared" si="53"/>
        <v>86.23277222222222</v>
      </c>
      <c r="S129" s="52"/>
      <c r="T129" s="52"/>
      <c r="V129" s="52">
        <f t="shared" si="48"/>
        <v>12531.690000000002</v>
      </c>
      <c r="AI129" s="52"/>
    </row>
    <row r="130" spans="1:35" ht="12">
      <c r="A130" s="80">
        <f t="shared" si="52"/>
        <v>24</v>
      </c>
      <c r="B130" s="80"/>
      <c r="C130" s="80"/>
      <c r="D130" s="80"/>
      <c r="E130" s="85">
        <v>423</v>
      </c>
      <c r="F130" s="125"/>
      <c r="G130" s="83" t="s">
        <v>539</v>
      </c>
      <c r="H130" s="399">
        <f>3772000+S130</f>
        <v>3942000</v>
      </c>
      <c r="I130" s="399"/>
      <c r="J130" s="399"/>
      <c r="K130" s="399"/>
      <c r="L130" s="86">
        <f t="shared" si="51"/>
        <v>3942000</v>
      </c>
      <c r="M130" s="86">
        <v>3704491</v>
      </c>
      <c r="N130" s="86"/>
      <c r="O130" s="86"/>
      <c r="P130" s="86"/>
      <c r="Q130" s="86">
        <v>191172</v>
      </c>
      <c r="R130" s="435">
        <f t="shared" si="53"/>
        <v>93.97491121258244</v>
      </c>
      <c r="S130" s="52">
        <f>20000+50000+100000</f>
        <v>170000</v>
      </c>
      <c r="T130" s="52"/>
      <c r="V130" s="52">
        <f t="shared" si="48"/>
        <v>46337</v>
      </c>
      <c r="AI130" s="52"/>
    </row>
    <row r="131" spans="1:35" ht="12">
      <c r="A131" s="80">
        <f t="shared" si="52"/>
        <v>25</v>
      </c>
      <c r="B131" s="80"/>
      <c r="C131" s="80"/>
      <c r="D131" s="80"/>
      <c r="E131" s="85">
        <v>423</v>
      </c>
      <c r="F131" s="125"/>
      <c r="G131" s="83" t="s">
        <v>553</v>
      </c>
      <c r="H131" s="399">
        <f>2500000+1200000+200000</f>
        <v>3900000</v>
      </c>
      <c r="I131" s="399"/>
      <c r="J131" s="399"/>
      <c r="K131" s="399"/>
      <c r="L131" s="86">
        <f t="shared" si="51"/>
        <v>3900000</v>
      </c>
      <c r="M131" s="86">
        <v>2469230.76</v>
      </c>
      <c r="N131" s="86"/>
      <c r="O131" s="86"/>
      <c r="P131" s="86"/>
      <c r="Q131" s="86">
        <v>1362210.99</v>
      </c>
      <c r="R131" s="435">
        <f t="shared" si="53"/>
        <v>63.31360923076923</v>
      </c>
      <c r="S131" s="52"/>
      <c r="T131" s="52"/>
      <c r="V131" s="52">
        <f t="shared" si="48"/>
        <v>68558.25</v>
      </c>
      <c r="AI131" s="52"/>
    </row>
    <row r="132" spans="1:35" ht="12">
      <c r="A132" s="80">
        <f t="shared" si="52"/>
        <v>26</v>
      </c>
      <c r="B132" s="80"/>
      <c r="C132" s="80"/>
      <c r="D132" s="80"/>
      <c r="E132" s="85">
        <v>424</v>
      </c>
      <c r="F132" s="125"/>
      <c r="G132" s="83" t="s">
        <v>554</v>
      </c>
      <c r="H132" s="399">
        <f>+S132</f>
        <v>42000</v>
      </c>
      <c r="I132" s="399"/>
      <c r="J132" s="399"/>
      <c r="K132" s="399"/>
      <c r="L132" s="86">
        <f t="shared" si="51"/>
        <v>42000</v>
      </c>
      <c r="M132" s="86">
        <v>42000</v>
      </c>
      <c r="N132" s="86"/>
      <c r="O132" s="86"/>
      <c r="P132" s="386"/>
      <c r="Q132" s="86"/>
      <c r="R132" s="435">
        <f t="shared" si="53"/>
        <v>100</v>
      </c>
      <c r="S132" s="52">
        <v>42000</v>
      </c>
      <c r="T132" s="52"/>
      <c r="V132" s="52">
        <f t="shared" si="48"/>
        <v>0</v>
      </c>
      <c r="AI132" s="52"/>
    </row>
    <row r="133" spans="1:35" ht="12">
      <c r="A133" s="80">
        <f t="shared" si="52"/>
        <v>27</v>
      </c>
      <c r="B133" s="80"/>
      <c r="C133" s="80"/>
      <c r="D133" s="80"/>
      <c r="E133" s="85">
        <v>425</v>
      </c>
      <c r="F133" s="125"/>
      <c r="G133" s="83" t="s">
        <v>540</v>
      </c>
      <c r="H133" s="399">
        <f>200000+200000</f>
        <v>400000</v>
      </c>
      <c r="I133" s="399"/>
      <c r="J133" s="399"/>
      <c r="K133" s="399"/>
      <c r="L133" s="86">
        <f t="shared" si="51"/>
        <v>400000</v>
      </c>
      <c r="M133" s="86">
        <v>231875</v>
      </c>
      <c r="N133" s="86"/>
      <c r="O133" s="86"/>
      <c r="P133" s="386"/>
      <c r="Q133" s="86">
        <v>56375.53</v>
      </c>
      <c r="R133" s="435">
        <f t="shared" si="53"/>
        <v>57.96875</v>
      </c>
      <c r="S133" s="52"/>
      <c r="T133" s="52"/>
      <c r="V133" s="52">
        <f t="shared" si="48"/>
        <v>111749.46999999997</v>
      </c>
      <c r="AI133" s="52"/>
    </row>
    <row r="134" spans="1:35" ht="12">
      <c r="A134" s="126">
        <f t="shared" si="52"/>
        <v>28</v>
      </c>
      <c r="B134" s="80"/>
      <c r="C134" s="80"/>
      <c r="D134" s="80"/>
      <c r="E134" s="85">
        <v>426</v>
      </c>
      <c r="F134" s="125"/>
      <c r="G134" s="83" t="s">
        <v>530</v>
      </c>
      <c r="H134" s="399">
        <f>1500000+T134</f>
        <v>1430000</v>
      </c>
      <c r="I134" s="399"/>
      <c r="J134" s="399"/>
      <c r="K134" s="414"/>
      <c r="L134" s="130">
        <f t="shared" si="51"/>
        <v>1430000</v>
      </c>
      <c r="M134" s="386">
        <v>1011483.62</v>
      </c>
      <c r="N134" s="386"/>
      <c r="O134" s="86"/>
      <c r="P134" s="55"/>
      <c r="Q134" s="130">
        <v>192140.48</v>
      </c>
      <c r="R134" s="436">
        <f t="shared" si="53"/>
        <v>70.73312027972027</v>
      </c>
      <c r="S134" s="52"/>
      <c r="T134" s="52">
        <v>-70000</v>
      </c>
      <c r="V134" s="52">
        <f t="shared" si="48"/>
        <v>226375.8999999999</v>
      </c>
      <c r="AI134" s="52"/>
    </row>
    <row r="135" spans="1:35" ht="12">
      <c r="A135" s="128" t="s">
        <v>426</v>
      </c>
      <c r="B135" s="24"/>
      <c r="C135" s="126"/>
      <c r="D135" s="24"/>
      <c r="E135" s="127">
        <v>465</v>
      </c>
      <c r="F135" s="109"/>
      <c r="G135" s="129" t="s">
        <v>558</v>
      </c>
      <c r="H135" s="414">
        <f>+S135+T135</f>
        <v>26600</v>
      </c>
      <c r="I135" s="415"/>
      <c r="J135" s="414"/>
      <c r="K135" s="414"/>
      <c r="L135" s="86">
        <f t="shared" si="51"/>
        <v>26600</v>
      </c>
      <c r="M135" s="86">
        <v>25546.99</v>
      </c>
      <c r="N135" s="86"/>
      <c r="O135" s="86"/>
      <c r="P135" s="86"/>
      <c r="Q135" s="130"/>
      <c r="R135" s="436">
        <f t="shared" si="53"/>
        <v>96.04131578947369</v>
      </c>
      <c r="S135" s="52">
        <v>1000</v>
      </c>
      <c r="T135" s="52">
        <v>25600</v>
      </c>
      <c r="V135" s="52">
        <f t="shared" si="48"/>
        <v>1053.0099999999984</v>
      </c>
      <c r="AI135" s="52"/>
    </row>
    <row r="136" spans="1:35" ht="12">
      <c r="A136" s="126">
        <f>A134+1</f>
        <v>29</v>
      </c>
      <c r="B136" s="24"/>
      <c r="C136" s="126"/>
      <c r="D136" s="24"/>
      <c r="E136" s="127">
        <v>482</v>
      </c>
      <c r="F136" s="109"/>
      <c r="G136" s="129" t="s">
        <v>541</v>
      </c>
      <c r="H136" s="414">
        <f>300000+S136</f>
        <v>400000</v>
      </c>
      <c r="I136" s="415"/>
      <c r="J136" s="414"/>
      <c r="K136" s="414"/>
      <c r="L136" s="393">
        <f t="shared" si="51"/>
        <v>400000</v>
      </c>
      <c r="M136" s="52">
        <v>394350.25</v>
      </c>
      <c r="N136" s="130"/>
      <c r="O136" s="393"/>
      <c r="P136" s="52"/>
      <c r="Q136" s="130"/>
      <c r="R136" s="436">
        <f t="shared" si="53"/>
        <v>98.5875625</v>
      </c>
      <c r="S136" s="52">
        <v>100000</v>
      </c>
      <c r="T136" s="52"/>
      <c r="V136" s="52">
        <f t="shared" si="48"/>
        <v>5649.75</v>
      </c>
      <c r="AI136" s="52"/>
    </row>
    <row r="137" spans="1:35" ht="12">
      <c r="A137" s="131"/>
      <c r="B137" s="25"/>
      <c r="C137" s="131"/>
      <c r="D137" s="25"/>
      <c r="E137" s="132"/>
      <c r="F137" s="21"/>
      <c r="G137" s="134" t="s">
        <v>604</v>
      </c>
      <c r="H137" s="417"/>
      <c r="I137" s="407"/>
      <c r="J137" s="417"/>
      <c r="K137" s="417"/>
      <c r="L137" s="135"/>
      <c r="M137" s="52"/>
      <c r="N137" s="135"/>
      <c r="O137" s="393"/>
      <c r="P137" s="52"/>
      <c r="Q137" s="135"/>
      <c r="R137" s="437"/>
      <c r="S137" s="52"/>
      <c r="T137" s="52"/>
      <c r="V137" s="52">
        <f t="shared" si="48"/>
        <v>0</v>
      </c>
      <c r="AI137" s="52"/>
    </row>
    <row r="138" spans="1:35" ht="12">
      <c r="A138" s="131">
        <f>A136+1</f>
        <v>30</v>
      </c>
      <c r="B138" s="80"/>
      <c r="C138" s="80"/>
      <c r="D138" s="80"/>
      <c r="E138" s="85">
        <v>483</v>
      </c>
      <c r="F138" s="125"/>
      <c r="G138" s="83" t="s">
        <v>570</v>
      </c>
      <c r="H138" s="399"/>
      <c r="I138" s="399"/>
      <c r="J138" s="399"/>
      <c r="K138" s="417"/>
      <c r="L138" s="135"/>
      <c r="M138" s="386"/>
      <c r="N138" s="386"/>
      <c r="O138" s="86"/>
      <c r="P138" s="55"/>
      <c r="Q138" s="135"/>
      <c r="R138" s="437"/>
      <c r="S138" s="52"/>
      <c r="T138" s="52"/>
      <c r="V138" s="52">
        <f t="shared" si="48"/>
        <v>0</v>
      </c>
      <c r="AI138" s="52"/>
    </row>
    <row r="139" spans="1:35" ht="12">
      <c r="A139" s="80">
        <f>A138+1</f>
        <v>31</v>
      </c>
      <c r="B139" s="80"/>
      <c r="C139" s="80"/>
      <c r="D139" s="80"/>
      <c r="E139" s="85">
        <v>512</v>
      </c>
      <c r="F139" s="125"/>
      <c r="G139" s="83" t="s">
        <v>572</v>
      </c>
      <c r="H139" s="399">
        <f>12430000+S139+T139</f>
        <v>12290000</v>
      </c>
      <c r="I139" s="399"/>
      <c r="J139" s="399"/>
      <c r="K139" s="417"/>
      <c r="L139" s="86">
        <f>+H139+I139+J139+K139</f>
        <v>12290000</v>
      </c>
      <c r="M139" s="386">
        <v>7288309.86</v>
      </c>
      <c r="N139" s="386"/>
      <c r="O139" s="86"/>
      <c r="P139" s="55"/>
      <c r="Q139" s="86"/>
      <c r="R139" s="435">
        <f>+M139/H139*100</f>
        <v>59.3027653376729</v>
      </c>
      <c r="S139" s="52">
        <f>40000+1000000-1000000+70000</f>
        <v>110000</v>
      </c>
      <c r="T139" s="52">
        <f>-200000-50000</f>
        <v>-250000</v>
      </c>
      <c r="V139" s="52">
        <f t="shared" si="48"/>
        <v>5001690.14</v>
      </c>
      <c r="AI139" s="52"/>
    </row>
    <row r="140" spans="1:35" ht="12">
      <c r="A140" s="26"/>
      <c r="B140" s="26"/>
      <c r="C140" s="26"/>
      <c r="D140" s="26"/>
      <c r="E140" s="29"/>
      <c r="F140" s="113"/>
      <c r="G140" s="31" t="s">
        <v>267</v>
      </c>
      <c r="H140" s="91">
        <f>SUM(H122:H139)</f>
        <v>32262000</v>
      </c>
      <c r="I140" s="91">
        <f>SUM(I122:I139)</f>
        <v>0</v>
      </c>
      <c r="J140" s="91">
        <f>SUM(J122:J139)</f>
        <v>100000</v>
      </c>
      <c r="K140" s="91">
        <f>SUM(K122:K139)</f>
        <v>0</v>
      </c>
      <c r="L140" s="457">
        <f>+H140+I140+J140</f>
        <v>32362000</v>
      </c>
      <c r="M140" s="499">
        <f>+SUM(M122:M139)</f>
        <v>23280366.669999998</v>
      </c>
      <c r="N140" s="499"/>
      <c r="O140" s="499">
        <f>+SUM(O122:O139)</f>
        <v>0</v>
      </c>
      <c r="P140" s="499">
        <f>+SUM(P122:P139)</f>
        <v>0</v>
      </c>
      <c r="Q140" s="419">
        <f>SUM(Q122:Q139)</f>
        <v>1991311.8699999999</v>
      </c>
      <c r="R140" s="458">
        <f>+M140/H140*100</f>
        <v>72.1603331163598</v>
      </c>
      <c r="S140" s="52"/>
      <c r="T140" s="52"/>
      <c r="V140" s="52">
        <f t="shared" si="48"/>
        <v>6990321.460000001</v>
      </c>
      <c r="AI140" s="52"/>
    </row>
    <row r="141" spans="1:35" ht="12">
      <c r="A141" s="136"/>
      <c r="B141" s="24"/>
      <c r="C141" s="24"/>
      <c r="D141" s="24"/>
      <c r="E141" s="38"/>
      <c r="F141" s="114"/>
      <c r="G141" s="39" t="s">
        <v>685</v>
      </c>
      <c r="H141" s="415"/>
      <c r="I141" s="415"/>
      <c r="J141" s="415"/>
      <c r="K141" s="415"/>
      <c r="L141" s="415"/>
      <c r="M141" s="61"/>
      <c r="N141" s="61"/>
      <c r="O141" s="61"/>
      <c r="P141" s="61"/>
      <c r="Q141" s="61"/>
      <c r="R141" s="438"/>
      <c r="S141" s="52"/>
      <c r="T141" s="52"/>
      <c r="V141" s="52">
        <f t="shared" si="48"/>
        <v>0</v>
      </c>
      <c r="AI141" s="52"/>
    </row>
    <row r="142" spans="1:35" ht="12">
      <c r="A142" s="141"/>
      <c r="B142" s="33"/>
      <c r="C142" s="33"/>
      <c r="D142" s="33"/>
      <c r="E142" s="20"/>
      <c r="F142" s="17" t="s">
        <v>73</v>
      </c>
      <c r="G142" s="20" t="s">
        <v>674</v>
      </c>
      <c r="H142" s="10">
        <f>+H140</f>
        <v>32262000</v>
      </c>
      <c r="I142" s="10"/>
      <c r="J142" s="10"/>
      <c r="K142" s="10"/>
      <c r="L142" s="10"/>
      <c r="M142" s="62">
        <f>+M140</f>
        <v>23280366.669999998</v>
      </c>
      <c r="N142" s="62"/>
      <c r="O142" s="62"/>
      <c r="P142" s="62"/>
      <c r="Q142" s="62"/>
      <c r="R142" s="439"/>
      <c r="S142" s="52"/>
      <c r="T142" s="52"/>
      <c r="V142" s="52">
        <f t="shared" si="48"/>
        <v>8981633.330000002</v>
      </c>
      <c r="AI142" s="52"/>
    </row>
    <row r="143" spans="1:35" ht="12">
      <c r="A143" s="141"/>
      <c r="B143" s="33"/>
      <c r="C143" s="33"/>
      <c r="D143" s="33"/>
      <c r="E143" s="20"/>
      <c r="F143" s="17" t="s">
        <v>268</v>
      </c>
      <c r="G143" s="20" t="s">
        <v>675</v>
      </c>
      <c r="H143" s="10"/>
      <c r="I143" s="10"/>
      <c r="J143" s="10">
        <f>+J140</f>
        <v>100000</v>
      </c>
      <c r="K143" s="10"/>
      <c r="L143" s="10"/>
      <c r="M143" s="62"/>
      <c r="N143" s="62"/>
      <c r="O143" s="62"/>
      <c r="P143" s="62"/>
      <c r="Q143" s="62"/>
      <c r="R143" s="439"/>
      <c r="S143" s="52"/>
      <c r="T143" s="52"/>
      <c r="V143" s="52">
        <f t="shared" si="48"/>
        <v>0</v>
      </c>
      <c r="AI143" s="52"/>
    </row>
    <row r="144" spans="1:35" ht="12">
      <c r="A144" s="141"/>
      <c r="B144" s="33"/>
      <c r="C144" s="33"/>
      <c r="D144" s="33"/>
      <c r="E144" s="20"/>
      <c r="F144" s="115"/>
      <c r="G144" s="1" t="s">
        <v>686</v>
      </c>
      <c r="H144" s="10"/>
      <c r="I144" s="10"/>
      <c r="J144" s="10"/>
      <c r="K144" s="10"/>
      <c r="L144" s="10">
        <f>+H142+J143</f>
        <v>32362000</v>
      </c>
      <c r="M144" s="62"/>
      <c r="N144" s="62"/>
      <c r="O144" s="62"/>
      <c r="P144" s="62"/>
      <c r="Q144" s="62"/>
      <c r="R144" s="439"/>
      <c r="S144" s="52"/>
      <c r="T144" s="52"/>
      <c r="V144" s="52">
        <f t="shared" si="48"/>
        <v>0</v>
      </c>
      <c r="AI144" s="52"/>
    </row>
    <row r="145" spans="1:35" ht="12">
      <c r="A145" s="141"/>
      <c r="B145" s="33"/>
      <c r="C145" s="33"/>
      <c r="D145" s="33"/>
      <c r="E145" s="20"/>
      <c r="F145" s="115"/>
      <c r="G145" s="1" t="s">
        <v>651</v>
      </c>
      <c r="H145" s="10"/>
      <c r="I145" s="10"/>
      <c r="J145" s="10"/>
      <c r="K145" s="10"/>
      <c r="L145" s="10"/>
      <c r="M145" s="62"/>
      <c r="N145" s="62"/>
      <c r="O145" s="62"/>
      <c r="P145" s="62"/>
      <c r="Q145" s="62"/>
      <c r="R145" s="439"/>
      <c r="S145" s="52"/>
      <c r="T145" s="52"/>
      <c r="V145" s="52">
        <f t="shared" si="48"/>
        <v>0</v>
      </c>
      <c r="AI145" s="52"/>
    </row>
    <row r="146" spans="1:35" ht="12">
      <c r="A146" s="141"/>
      <c r="B146" s="33"/>
      <c r="C146" s="33"/>
      <c r="D146" s="33"/>
      <c r="E146" s="20"/>
      <c r="F146" s="17" t="s">
        <v>73</v>
      </c>
      <c r="G146" s="20" t="s">
        <v>674</v>
      </c>
      <c r="H146" s="10">
        <f>+H142</f>
        <v>32262000</v>
      </c>
      <c r="I146" s="10"/>
      <c r="J146" s="10"/>
      <c r="K146" s="10"/>
      <c r="L146" s="10"/>
      <c r="M146" s="62">
        <f>+M140</f>
        <v>23280366.669999998</v>
      </c>
      <c r="N146" s="62"/>
      <c r="O146" s="62"/>
      <c r="P146" s="62"/>
      <c r="Q146" s="62"/>
      <c r="R146" s="439"/>
      <c r="S146" s="52"/>
      <c r="T146" s="52"/>
      <c r="V146" s="52">
        <f t="shared" si="48"/>
        <v>8981633.330000002</v>
      </c>
      <c r="AI146" s="52"/>
    </row>
    <row r="147" spans="1:35" ht="12">
      <c r="A147" s="141"/>
      <c r="B147" s="33"/>
      <c r="C147" s="33"/>
      <c r="D147" s="33"/>
      <c r="E147" s="20"/>
      <c r="F147" s="17" t="s">
        <v>268</v>
      </c>
      <c r="G147" s="20" t="s">
        <v>675</v>
      </c>
      <c r="H147" s="10"/>
      <c r="I147" s="10"/>
      <c r="J147" s="10">
        <f>+J143</f>
        <v>100000</v>
      </c>
      <c r="K147" s="10"/>
      <c r="L147" s="10"/>
      <c r="M147" s="62"/>
      <c r="N147" s="62"/>
      <c r="O147" s="62"/>
      <c r="P147" s="62"/>
      <c r="Q147" s="62"/>
      <c r="R147" s="439"/>
      <c r="S147" s="52"/>
      <c r="T147" s="52"/>
      <c r="V147" s="52">
        <f t="shared" si="48"/>
        <v>0</v>
      </c>
      <c r="AI147" s="52"/>
    </row>
    <row r="148" spans="1:35" ht="12">
      <c r="A148" s="137"/>
      <c r="B148" s="25"/>
      <c r="C148" s="25"/>
      <c r="D148" s="25"/>
      <c r="E148" s="23"/>
      <c r="F148" s="116"/>
      <c r="G148" s="90" t="s">
        <v>606</v>
      </c>
      <c r="H148" s="407"/>
      <c r="I148" s="407"/>
      <c r="J148" s="407"/>
      <c r="K148" s="407"/>
      <c r="L148" s="407">
        <f>+H146+J147</f>
        <v>32362000</v>
      </c>
      <c r="M148" s="53"/>
      <c r="N148" s="53"/>
      <c r="O148" s="53"/>
      <c r="P148" s="53"/>
      <c r="Q148" s="53"/>
      <c r="R148" s="543">
        <f>+M146</f>
        <v>23280366.669999998</v>
      </c>
      <c r="S148" s="52"/>
      <c r="T148" s="52"/>
      <c r="V148" s="52">
        <f t="shared" si="48"/>
        <v>0</v>
      </c>
      <c r="AI148" s="52"/>
    </row>
    <row r="149" spans="1:35" ht="12">
      <c r="A149" s="33"/>
      <c r="B149" s="33"/>
      <c r="C149" s="33"/>
      <c r="D149" s="33"/>
      <c r="E149" s="20"/>
      <c r="F149" s="115"/>
      <c r="G149" s="9"/>
      <c r="H149" s="10"/>
      <c r="I149" s="10"/>
      <c r="J149" s="10"/>
      <c r="K149" s="10"/>
      <c r="L149" s="10"/>
      <c r="M149" s="52"/>
      <c r="N149" s="52"/>
      <c r="O149" s="52"/>
      <c r="P149" s="52"/>
      <c r="Q149" s="52"/>
      <c r="S149" s="52"/>
      <c r="T149" s="52"/>
      <c r="V149" s="52">
        <f t="shared" si="48"/>
        <v>0</v>
      </c>
      <c r="AI149" s="52"/>
    </row>
    <row r="150" spans="1:35" ht="12">
      <c r="A150" s="80"/>
      <c r="B150" s="80"/>
      <c r="C150" s="80"/>
      <c r="D150" s="88"/>
      <c r="E150" s="87"/>
      <c r="F150" s="117"/>
      <c r="G150" s="82" t="s">
        <v>587</v>
      </c>
      <c r="H150" s="399"/>
      <c r="I150" s="399"/>
      <c r="J150" s="399"/>
      <c r="K150" s="399"/>
      <c r="L150" s="86"/>
      <c r="M150" s="86"/>
      <c r="N150" s="86"/>
      <c r="O150" s="86"/>
      <c r="P150" s="86"/>
      <c r="Q150" s="86"/>
      <c r="R150" s="435"/>
      <c r="S150" s="52"/>
      <c r="T150" s="52"/>
      <c r="V150" s="52">
        <f t="shared" si="48"/>
        <v>0</v>
      </c>
      <c r="AI150" s="52"/>
    </row>
    <row r="151" spans="1:35" ht="12">
      <c r="A151" s="80"/>
      <c r="B151" s="80"/>
      <c r="C151" s="80" t="s">
        <v>71</v>
      </c>
      <c r="D151" s="88"/>
      <c r="E151" s="87"/>
      <c r="F151" s="117"/>
      <c r="G151" s="87" t="s">
        <v>607</v>
      </c>
      <c r="H151" s="399"/>
      <c r="I151" s="399"/>
      <c r="J151" s="399"/>
      <c r="K151" s="399"/>
      <c r="L151" s="86"/>
      <c r="M151" s="86"/>
      <c r="N151" s="86"/>
      <c r="O151" s="86"/>
      <c r="P151" s="86"/>
      <c r="Q151" s="86"/>
      <c r="R151" s="435"/>
      <c r="S151" s="52"/>
      <c r="T151" s="52"/>
      <c r="V151" s="52">
        <f t="shared" si="48"/>
        <v>0</v>
      </c>
      <c r="AI151" s="52"/>
    </row>
    <row r="152" spans="1:35" ht="12">
      <c r="A152" s="80"/>
      <c r="B152" s="80"/>
      <c r="C152" s="80"/>
      <c r="D152" s="89">
        <v>160</v>
      </c>
      <c r="E152" s="87"/>
      <c r="F152" s="117"/>
      <c r="G152" s="87" t="s">
        <v>769</v>
      </c>
      <c r="H152" s="399"/>
      <c r="I152" s="399"/>
      <c r="J152" s="399"/>
      <c r="K152" s="399"/>
      <c r="L152" s="86"/>
      <c r="M152" s="86"/>
      <c r="N152" s="86"/>
      <c r="O152" s="86"/>
      <c r="P152" s="86"/>
      <c r="Q152" s="86"/>
      <c r="R152" s="435"/>
      <c r="S152" s="52"/>
      <c r="T152" s="52"/>
      <c r="V152" s="52">
        <f t="shared" si="48"/>
        <v>0</v>
      </c>
      <c r="AI152" s="52"/>
    </row>
    <row r="153" spans="1:35" ht="12">
      <c r="A153" s="80">
        <f>A139+1</f>
        <v>32</v>
      </c>
      <c r="B153" s="80"/>
      <c r="C153" s="80"/>
      <c r="D153" s="80"/>
      <c r="E153" s="85">
        <v>49911</v>
      </c>
      <c r="F153" s="112"/>
      <c r="G153" s="83" t="s">
        <v>532</v>
      </c>
      <c r="H153" s="399">
        <v>400000</v>
      </c>
      <c r="I153" s="399"/>
      <c r="J153" s="399"/>
      <c r="K153" s="399"/>
      <c r="L153" s="86">
        <f>+H153+I153+J153+K153</f>
        <v>400000</v>
      </c>
      <c r="M153" s="86"/>
      <c r="N153" s="86"/>
      <c r="O153" s="86"/>
      <c r="P153" s="86"/>
      <c r="Q153" s="86"/>
      <c r="R153" s="435"/>
      <c r="S153" s="52"/>
      <c r="T153" s="52"/>
      <c r="V153" s="52">
        <f aca="true" t="shared" si="54" ref="V153:V216">+H153-(M153+Q153)</f>
        <v>400000</v>
      </c>
      <c r="AI153" s="52"/>
    </row>
    <row r="154" spans="1:35" ht="12">
      <c r="A154" s="80">
        <f>A153+1</f>
        <v>33</v>
      </c>
      <c r="B154" s="80"/>
      <c r="C154" s="80"/>
      <c r="D154" s="80"/>
      <c r="E154" s="85">
        <v>49912</v>
      </c>
      <c r="F154" s="112"/>
      <c r="G154" s="83" t="s">
        <v>608</v>
      </c>
      <c r="H154" s="399">
        <f>12000000-(SUM(S88:S104)+SUM(S122:S139)+SUM(S174:S188)+SUM(S202:S219)+SUM(S238:S275)+SUM(S337:S364)+SUM(S397:S401)+SUM(S413:S416)+S427+SUM(S438:S439)+S452+SUM(S476:S477)+S492+S503+S514+SUM(S526:S535)+SUM(S555:S582)+SUM(S595:S612)+SUM(S629:S644)+SUM(S659:S675)+SUM(S690:S704)+SUM(S721:S736)+SUM(S752:S781)+SUM(S818:S1020))</f>
        <v>21915.330000000075</v>
      </c>
      <c r="I154" s="399"/>
      <c r="J154" s="399"/>
      <c r="K154" s="399"/>
      <c r="L154" s="86">
        <f>+H154+I154+J154+K154</f>
        <v>21915.330000000075</v>
      </c>
      <c r="M154" s="86"/>
      <c r="N154" s="86"/>
      <c r="O154" s="86"/>
      <c r="P154" s="86"/>
      <c r="Q154" s="86"/>
      <c r="R154" s="435"/>
      <c r="S154" s="52"/>
      <c r="T154" s="52"/>
      <c r="V154" s="52">
        <f t="shared" si="54"/>
        <v>21915.330000000075</v>
      </c>
      <c r="AI154" s="52"/>
    </row>
    <row r="155" spans="1:35" ht="12">
      <c r="A155" s="161"/>
      <c r="B155" s="26"/>
      <c r="C155" s="26"/>
      <c r="D155" s="26"/>
      <c r="E155" s="29"/>
      <c r="F155" s="113"/>
      <c r="G155" s="48" t="s">
        <v>609</v>
      </c>
      <c r="H155" s="399">
        <f>SUM(H153:H154)</f>
        <v>421915.3300000001</v>
      </c>
      <c r="I155" s="399">
        <f>SUM(I153:I154)</f>
        <v>0</v>
      </c>
      <c r="J155" s="399">
        <f>SUM(J153:J154)</f>
        <v>0</v>
      </c>
      <c r="K155" s="399"/>
      <c r="L155" s="86">
        <f>+H155+I155+J155+K155</f>
        <v>421915.3300000001</v>
      </c>
      <c r="M155" s="86"/>
      <c r="N155" s="86"/>
      <c r="O155" s="86"/>
      <c r="P155" s="86"/>
      <c r="Q155" s="86"/>
      <c r="R155" s="435"/>
      <c r="S155" s="52"/>
      <c r="T155" s="52"/>
      <c r="V155" s="52">
        <f t="shared" si="54"/>
        <v>421915.3300000001</v>
      </c>
      <c r="AI155" s="52"/>
    </row>
    <row r="156" spans="1:35" ht="12">
      <c r="A156" s="80"/>
      <c r="B156" s="80"/>
      <c r="C156" s="80" t="s">
        <v>351</v>
      </c>
      <c r="D156" s="80"/>
      <c r="E156" s="81"/>
      <c r="F156" s="111"/>
      <c r="G156" s="87" t="s">
        <v>770</v>
      </c>
      <c r="H156" s="399"/>
      <c r="I156" s="399"/>
      <c r="J156" s="399"/>
      <c r="K156" s="399"/>
      <c r="L156" s="86"/>
      <c r="M156" s="86"/>
      <c r="N156" s="86"/>
      <c r="O156" s="86"/>
      <c r="P156" s="86"/>
      <c r="Q156" s="86"/>
      <c r="R156" s="435"/>
      <c r="S156" s="52"/>
      <c r="T156" s="52"/>
      <c r="V156" s="52">
        <f t="shared" si="54"/>
        <v>0</v>
      </c>
      <c r="AI156" s="52"/>
    </row>
    <row r="157" spans="1:35" ht="12">
      <c r="A157" s="80"/>
      <c r="B157" s="80"/>
      <c r="C157" s="80"/>
      <c r="D157" s="89">
        <v>160</v>
      </c>
      <c r="E157" s="87"/>
      <c r="F157" s="117"/>
      <c r="G157" s="87" t="s">
        <v>769</v>
      </c>
      <c r="H157" s="399"/>
      <c r="I157" s="399"/>
      <c r="J157" s="399"/>
      <c r="K157" s="399"/>
      <c r="L157" s="86"/>
      <c r="M157" s="86"/>
      <c r="N157" s="86"/>
      <c r="O157" s="86"/>
      <c r="P157" s="86"/>
      <c r="Q157" s="86"/>
      <c r="R157" s="435"/>
      <c r="S157" s="52"/>
      <c r="T157" s="52"/>
      <c r="V157" s="52">
        <f t="shared" si="54"/>
        <v>0</v>
      </c>
      <c r="AI157" s="52"/>
    </row>
    <row r="158" spans="1:35" ht="12">
      <c r="A158" s="80">
        <f>+A154+1</f>
        <v>34</v>
      </c>
      <c r="B158" s="80"/>
      <c r="C158" s="80"/>
      <c r="D158" s="80"/>
      <c r="E158" s="85">
        <v>49912</v>
      </c>
      <c r="F158" s="112"/>
      <c r="G158" s="83" t="s">
        <v>608</v>
      </c>
      <c r="H158" s="399">
        <f>1000000-S158</f>
        <v>155000</v>
      </c>
      <c r="I158" s="399"/>
      <c r="J158" s="399"/>
      <c r="K158" s="399"/>
      <c r="L158" s="86">
        <f>+H158+I158+J158+K158</f>
        <v>155000</v>
      </c>
      <c r="M158" s="86"/>
      <c r="N158" s="86"/>
      <c r="O158" s="86"/>
      <c r="P158" s="86"/>
      <c r="Q158" s="86"/>
      <c r="R158" s="435"/>
      <c r="S158" s="52">
        <f>250000+595000</f>
        <v>845000</v>
      </c>
      <c r="T158" s="52"/>
      <c r="V158" s="52">
        <f t="shared" si="54"/>
        <v>155000</v>
      </c>
      <c r="AI158" s="52"/>
    </row>
    <row r="159" spans="1:35" ht="12">
      <c r="A159" s="24"/>
      <c r="B159" s="24"/>
      <c r="C159" s="24"/>
      <c r="D159" s="24"/>
      <c r="E159" s="38"/>
      <c r="F159" s="114"/>
      <c r="G159" s="51" t="s">
        <v>610</v>
      </c>
      <c r="H159" s="399">
        <f>SUM(H158)</f>
        <v>155000</v>
      </c>
      <c r="I159" s="399">
        <f>SUM(I158)</f>
        <v>0</v>
      </c>
      <c r="J159" s="399">
        <f>SUM(J158)</f>
        <v>0</v>
      </c>
      <c r="K159" s="399">
        <f>SUM(K158)</f>
        <v>0</v>
      </c>
      <c r="L159" s="86">
        <f>+H159+I159+J159+K159</f>
        <v>155000</v>
      </c>
      <c r="M159" s="130"/>
      <c r="N159" s="130"/>
      <c r="O159" s="130"/>
      <c r="P159" s="130"/>
      <c r="Q159" s="130"/>
      <c r="R159" s="436"/>
      <c r="S159" s="52"/>
      <c r="T159" s="52"/>
      <c r="V159" s="52">
        <f t="shared" si="54"/>
        <v>155000</v>
      </c>
      <c r="AI159" s="52"/>
    </row>
    <row r="160" spans="1:35" s="71" customFormat="1" ht="12">
      <c r="A160" s="136"/>
      <c r="B160" s="24"/>
      <c r="C160" s="24"/>
      <c r="D160" s="24"/>
      <c r="E160" s="38"/>
      <c r="F160" s="114"/>
      <c r="G160" s="39" t="s">
        <v>687</v>
      </c>
      <c r="H160" s="415"/>
      <c r="I160" s="415"/>
      <c r="J160" s="415"/>
      <c r="K160" s="415"/>
      <c r="L160" s="61"/>
      <c r="M160" s="61"/>
      <c r="N160" s="61"/>
      <c r="O160" s="61"/>
      <c r="P160" s="61"/>
      <c r="Q160" s="61"/>
      <c r="R160" s="438"/>
      <c r="S160" s="62"/>
      <c r="T160" s="62"/>
      <c r="V160" s="52">
        <f t="shared" si="54"/>
        <v>0</v>
      </c>
      <c r="AI160" s="52"/>
    </row>
    <row r="161" spans="1:35" s="71" customFormat="1" ht="12">
      <c r="A161" s="141"/>
      <c r="B161" s="33"/>
      <c r="C161" s="33"/>
      <c r="D161" s="33"/>
      <c r="E161" s="20"/>
      <c r="F161" s="17" t="s">
        <v>73</v>
      </c>
      <c r="G161" s="20" t="s">
        <v>674</v>
      </c>
      <c r="H161" s="10">
        <f>+H155+H159</f>
        <v>576915.3300000001</v>
      </c>
      <c r="I161" s="10"/>
      <c r="J161" s="10"/>
      <c r="K161" s="10"/>
      <c r="L161" s="62"/>
      <c r="M161" s="62"/>
      <c r="N161" s="62"/>
      <c r="O161" s="62"/>
      <c r="P161" s="62"/>
      <c r="Q161" s="62"/>
      <c r="R161" s="439"/>
      <c r="S161" s="62"/>
      <c r="T161" s="62"/>
      <c r="V161" s="52">
        <f t="shared" si="54"/>
        <v>576915.3300000001</v>
      </c>
      <c r="AI161" s="52"/>
    </row>
    <row r="162" spans="1:35" s="71" customFormat="1" ht="12">
      <c r="A162" s="141"/>
      <c r="B162" s="33"/>
      <c r="C162" s="33"/>
      <c r="D162" s="33"/>
      <c r="E162" s="20"/>
      <c r="F162" s="115"/>
      <c r="G162" s="1" t="s">
        <v>688</v>
      </c>
      <c r="H162" s="10"/>
      <c r="I162" s="10"/>
      <c r="J162" s="10"/>
      <c r="K162" s="10"/>
      <c r="L162" s="62">
        <f>+H161</f>
        <v>576915.3300000001</v>
      </c>
      <c r="M162" s="62"/>
      <c r="N162" s="62"/>
      <c r="O162" s="62"/>
      <c r="P162" s="62"/>
      <c r="Q162" s="62"/>
      <c r="R162" s="439"/>
      <c r="S162" s="62"/>
      <c r="T162" s="62"/>
      <c r="V162" s="52">
        <f t="shared" si="54"/>
        <v>0</v>
      </c>
      <c r="AI162" s="52"/>
    </row>
    <row r="163" spans="1:35" ht="12">
      <c r="A163" s="144"/>
      <c r="B163" s="71"/>
      <c r="C163" s="71"/>
      <c r="D163" s="71"/>
      <c r="E163" s="71"/>
      <c r="F163" s="118"/>
      <c r="G163" s="1" t="s">
        <v>652</v>
      </c>
      <c r="H163" s="62"/>
      <c r="I163" s="71"/>
      <c r="J163" s="390"/>
      <c r="K163" s="390"/>
      <c r="L163" s="71"/>
      <c r="M163" s="62"/>
      <c r="N163" s="62"/>
      <c r="O163" s="62"/>
      <c r="P163" s="62"/>
      <c r="Q163" s="62"/>
      <c r="R163" s="439"/>
      <c r="S163" s="52"/>
      <c r="T163" s="52"/>
      <c r="V163" s="52">
        <f t="shared" si="54"/>
        <v>0</v>
      </c>
      <c r="AI163" s="52"/>
    </row>
    <row r="164" spans="1:35" ht="12">
      <c r="A164" s="144"/>
      <c r="B164" s="71"/>
      <c r="C164" s="71"/>
      <c r="D164" s="71"/>
      <c r="E164" s="71"/>
      <c r="F164" s="138" t="s">
        <v>73</v>
      </c>
      <c r="G164" s="20" t="s">
        <v>674</v>
      </c>
      <c r="H164" s="62">
        <f>+H161</f>
        <v>576915.3300000001</v>
      </c>
      <c r="I164" s="71"/>
      <c r="J164" s="390"/>
      <c r="K164" s="390"/>
      <c r="L164" s="71"/>
      <c r="M164" s="62"/>
      <c r="N164" s="62"/>
      <c r="O164" s="62"/>
      <c r="P164" s="62"/>
      <c r="Q164" s="62"/>
      <c r="R164" s="439"/>
      <c r="S164" s="52"/>
      <c r="T164" s="52"/>
      <c r="V164" s="52">
        <f t="shared" si="54"/>
        <v>576915.3300000001</v>
      </c>
      <c r="AI164" s="52"/>
    </row>
    <row r="165" spans="1:35" ht="12">
      <c r="A165" s="145"/>
      <c r="B165" s="68"/>
      <c r="C165" s="68"/>
      <c r="D165" s="68"/>
      <c r="E165" s="68"/>
      <c r="F165" s="119"/>
      <c r="G165" s="90" t="s">
        <v>611</v>
      </c>
      <c r="H165" s="53"/>
      <c r="I165" s="68"/>
      <c r="J165" s="391"/>
      <c r="K165" s="391"/>
      <c r="L165" s="53">
        <f>+H164</f>
        <v>576915.3300000001</v>
      </c>
      <c r="M165" s="62"/>
      <c r="N165" s="62"/>
      <c r="O165" s="62"/>
      <c r="P165" s="62"/>
      <c r="Q165" s="62"/>
      <c r="R165" s="439"/>
      <c r="S165" s="52"/>
      <c r="T165" s="52"/>
      <c r="V165" s="52">
        <f t="shared" si="54"/>
        <v>0</v>
      </c>
      <c r="AI165" s="52"/>
    </row>
    <row r="166" spans="1:35" ht="12">
      <c r="A166" s="137"/>
      <c r="B166" s="25"/>
      <c r="C166" s="25"/>
      <c r="D166" s="25"/>
      <c r="E166" s="23"/>
      <c r="F166" s="116"/>
      <c r="G166" s="22" t="s">
        <v>585</v>
      </c>
      <c r="H166" s="407">
        <f aca="true" t="shared" si="55" ref="H166:M166">+H140+H155+H159</f>
        <v>32838915.33</v>
      </c>
      <c r="I166" s="407">
        <f t="shared" si="55"/>
        <v>0</v>
      </c>
      <c r="J166" s="407">
        <f t="shared" si="55"/>
        <v>100000</v>
      </c>
      <c r="K166" s="407">
        <f t="shared" si="55"/>
        <v>0</v>
      </c>
      <c r="L166" s="407">
        <f t="shared" si="55"/>
        <v>32938915.33</v>
      </c>
      <c r="M166" s="55">
        <f t="shared" si="55"/>
        <v>23280366.669999998</v>
      </c>
      <c r="N166" s="55"/>
      <c r="O166" s="55"/>
      <c r="P166" s="55"/>
      <c r="Q166" s="55">
        <f>+Q140</f>
        <v>1991311.8699999999</v>
      </c>
      <c r="R166" s="441"/>
      <c r="S166" s="52"/>
      <c r="T166" s="52"/>
      <c r="V166" s="52">
        <f t="shared" si="54"/>
        <v>7567236.789999999</v>
      </c>
      <c r="Y166" s="52"/>
      <c r="AI166" s="52"/>
    </row>
    <row r="167" spans="1:35" ht="12">
      <c r="A167" s="136"/>
      <c r="B167" s="24"/>
      <c r="C167" s="24"/>
      <c r="D167" s="24"/>
      <c r="E167" s="38"/>
      <c r="F167" s="114"/>
      <c r="G167" s="39" t="s">
        <v>653</v>
      </c>
      <c r="H167" s="415"/>
      <c r="I167" s="415"/>
      <c r="J167" s="415"/>
      <c r="K167" s="415"/>
      <c r="L167" s="61"/>
      <c r="M167" s="62"/>
      <c r="N167" s="62"/>
      <c r="O167" s="62"/>
      <c r="P167" s="62"/>
      <c r="Q167" s="62"/>
      <c r="R167" s="439"/>
      <c r="S167" s="52"/>
      <c r="T167" s="52"/>
      <c r="V167" s="52">
        <f t="shared" si="54"/>
        <v>0</v>
      </c>
      <c r="AI167" s="52"/>
    </row>
    <row r="168" spans="1:35" ht="12">
      <c r="A168" s="141"/>
      <c r="B168" s="33"/>
      <c r="C168" s="33"/>
      <c r="D168" s="33"/>
      <c r="E168" s="20"/>
      <c r="F168" s="17" t="s">
        <v>73</v>
      </c>
      <c r="G168" s="20" t="s">
        <v>674</v>
      </c>
      <c r="H168" s="10">
        <f>+H166</f>
        <v>32838915.33</v>
      </c>
      <c r="I168" s="10"/>
      <c r="J168" s="10"/>
      <c r="K168" s="10"/>
      <c r="L168" s="62"/>
      <c r="M168" s="62">
        <f>+M166</f>
        <v>23280366.669999998</v>
      </c>
      <c r="N168" s="62"/>
      <c r="O168" s="62"/>
      <c r="P168" s="62"/>
      <c r="Q168" s="62"/>
      <c r="R168" s="439"/>
      <c r="S168" s="52"/>
      <c r="T168" s="52"/>
      <c r="V168" s="52">
        <f t="shared" si="54"/>
        <v>9558548.66</v>
      </c>
      <c r="Z168" s="52"/>
      <c r="AA168" s="52"/>
      <c r="AI168" s="52"/>
    </row>
    <row r="169" spans="1:35" ht="12">
      <c r="A169" s="141"/>
      <c r="B169" s="33"/>
      <c r="C169" s="33"/>
      <c r="D169" s="33"/>
      <c r="E169" s="20"/>
      <c r="F169" s="17" t="s">
        <v>268</v>
      </c>
      <c r="G169" s="20" t="s">
        <v>676</v>
      </c>
      <c r="H169" s="10"/>
      <c r="I169" s="10"/>
      <c r="J169" s="10">
        <f>+J166</f>
        <v>100000</v>
      </c>
      <c r="K169" s="10"/>
      <c r="L169" s="62"/>
      <c r="M169" s="62"/>
      <c r="N169" s="62"/>
      <c r="O169" s="62"/>
      <c r="P169" s="62"/>
      <c r="Q169" s="62"/>
      <c r="R169" s="439"/>
      <c r="S169" s="52"/>
      <c r="T169" s="52"/>
      <c r="V169" s="52">
        <f t="shared" si="54"/>
        <v>0</v>
      </c>
      <c r="AI169" s="52"/>
    </row>
    <row r="170" spans="1:35" ht="12">
      <c r="A170" s="137"/>
      <c r="B170" s="25"/>
      <c r="C170" s="25"/>
      <c r="D170" s="25"/>
      <c r="E170" s="23"/>
      <c r="F170" s="116"/>
      <c r="G170" s="90" t="s">
        <v>612</v>
      </c>
      <c r="H170" s="407"/>
      <c r="I170" s="407"/>
      <c r="J170" s="407"/>
      <c r="K170" s="407"/>
      <c r="L170" s="62">
        <f>H168+J169</f>
        <v>32938915.33</v>
      </c>
      <c r="M170" s="62"/>
      <c r="N170" s="62"/>
      <c r="O170" s="53"/>
      <c r="P170" s="53"/>
      <c r="Q170" s="53"/>
      <c r="R170" s="440"/>
      <c r="S170" s="52"/>
      <c r="T170" s="52"/>
      <c r="V170" s="52">
        <f t="shared" si="54"/>
        <v>0</v>
      </c>
      <c r="AI170" s="52"/>
    </row>
    <row r="171" spans="1:35" ht="12">
      <c r="A171" s="137"/>
      <c r="B171" s="25"/>
      <c r="C171" s="25"/>
      <c r="D171" s="25"/>
      <c r="E171" s="23"/>
      <c r="F171" s="116"/>
      <c r="G171" s="68"/>
      <c r="H171" s="407"/>
      <c r="I171" s="407"/>
      <c r="J171" s="407"/>
      <c r="K171" s="407"/>
      <c r="L171" s="55"/>
      <c r="M171" s="55"/>
      <c r="N171" s="55"/>
      <c r="O171" s="52"/>
      <c r="P171" s="52"/>
      <c r="Q171" s="52"/>
      <c r="S171" s="52"/>
      <c r="T171" s="52"/>
      <c r="V171" s="52">
        <f t="shared" si="54"/>
        <v>0</v>
      </c>
      <c r="AI171" s="52"/>
    </row>
    <row r="172" spans="1:35" ht="12">
      <c r="A172" s="80"/>
      <c r="B172" s="80">
        <v>3</v>
      </c>
      <c r="C172" s="80"/>
      <c r="D172" s="80"/>
      <c r="E172" s="85"/>
      <c r="F172" s="112"/>
      <c r="G172" s="92" t="s">
        <v>283</v>
      </c>
      <c r="H172" s="399"/>
      <c r="I172" s="399"/>
      <c r="J172" s="399"/>
      <c r="K172" s="417"/>
      <c r="L172" s="135"/>
      <c r="M172" s="135"/>
      <c r="N172" s="86"/>
      <c r="O172" s="394"/>
      <c r="P172" s="86"/>
      <c r="Q172" s="86"/>
      <c r="R172" s="435"/>
      <c r="S172" s="52"/>
      <c r="T172" s="52"/>
      <c r="V172" s="52">
        <f t="shared" si="54"/>
        <v>0</v>
      </c>
      <c r="AI172" s="52"/>
    </row>
    <row r="173" spans="1:35" ht="12.75" customHeight="1">
      <c r="A173" s="80"/>
      <c r="B173" s="80"/>
      <c r="C173" s="80"/>
      <c r="D173" s="80">
        <v>330</v>
      </c>
      <c r="E173" s="85"/>
      <c r="F173" s="112"/>
      <c r="G173" s="92" t="s">
        <v>613</v>
      </c>
      <c r="H173" s="399"/>
      <c r="I173" s="399"/>
      <c r="J173" s="399"/>
      <c r="K173" s="399"/>
      <c r="L173" s="86"/>
      <c r="M173" s="86"/>
      <c r="N173" s="86"/>
      <c r="O173" s="394"/>
      <c r="P173" s="86"/>
      <c r="Q173" s="86"/>
      <c r="R173" s="435"/>
      <c r="S173" s="52"/>
      <c r="T173" s="52"/>
      <c r="V173" s="52">
        <f t="shared" si="54"/>
        <v>0</v>
      </c>
      <c r="AI173" s="52"/>
    </row>
    <row r="174" spans="1:35" ht="12">
      <c r="A174" s="80">
        <f>+A158+1</f>
        <v>35</v>
      </c>
      <c r="B174" s="80"/>
      <c r="C174" s="80"/>
      <c r="D174" s="80"/>
      <c r="E174" s="85">
        <v>411</v>
      </c>
      <c r="F174" s="112"/>
      <c r="G174" s="83" t="s">
        <v>683</v>
      </c>
      <c r="H174" s="86">
        <f>3228000+T174</f>
        <v>3205000</v>
      </c>
      <c r="I174" s="399"/>
      <c r="J174" s="399"/>
      <c r="K174" s="399"/>
      <c r="L174" s="86">
        <f aca="true" t="shared" si="56" ref="L174:L185">+H174+I174+J174+K174</f>
        <v>3205000</v>
      </c>
      <c r="M174" s="86">
        <v>2591824.96</v>
      </c>
      <c r="N174" s="86"/>
      <c r="O174" s="394"/>
      <c r="P174" s="86"/>
      <c r="Q174" s="86"/>
      <c r="R174" s="435">
        <f>+M174/H174*100</f>
        <v>80.86817347893916</v>
      </c>
      <c r="S174" s="52"/>
      <c r="T174" s="52">
        <v>-23000</v>
      </c>
      <c r="V174" s="52">
        <f t="shared" si="54"/>
        <v>613175.04</v>
      </c>
      <c r="AI174" s="52"/>
    </row>
    <row r="175" spans="1:35" ht="12">
      <c r="A175" s="80">
        <f>+A174+1</f>
        <v>36</v>
      </c>
      <c r="B175" s="80"/>
      <c r="C175" s="80"/>
      <c r="D175" s="80"/>
      <c r="E175" s="85">
        <v>412</v>
      </c>
      <c r="F175" s="112"/>
      <c r="G175" s="83" t="s">
        <v>551</v>
      </c>
      <c r="H175" s="86">
        <v>578000</v>
      </c>
      <c r="I175" s="399"/>
      <c r="J175" s="399"/>
      <c r="K175" s="399"/>
      <c r="L175" s="86">
        <f t="shared" si="56"/>
        <v>578000</v>
      </c>
      <c r="M175" s="86">
        <v>463943.07</v>
      </c>
      <c r="N175" s="86"/>
      <c r="O175" s="394"/>
      <c r="P175" s="86"/>
      <c r="Q175" s="86"/>
      <c r="R175" s="435">
        <f>+M175/H175*100</f>
        <v>80.26696712802767</v>
      </c>
      <c r="S175" s="52"/>
      <c r="T175" s="52"/>
      <c r="V175" s="52">
        <f t="shared" si="54"/>
        <v>114056.93</v>
      </c>
      <c r="AI175" s="52"/>
    </row>
    <row r="176" spans="1:35" ht="12">
      <c r="A176" s="80">
        <f>+A175+1</f>
        <v>37</v>
      </c>
      <c r="B176" s="80"/>
      <c r="C176" s="80"/>
      <c r="D176" s="80"/>
      <c r="E176" s="85">
        <v>414</v>
      </c>
      <c r="F176" s="112"/>
      <c r="G176" s="83" t="s">
        <v>684</v>
      </c>
      <c r="H176" s="399">
        <v>60000</v>
      </c>
      <c r="I176" s="399"/>
      <c r="J176" s="399">
        <v>200000</v>
      </c>
      <c r="K176" s="399"/>
      <c r="L176" s="86">
        <f t="shared" si="56"/>
        <v>260000</v>
      </c>
      <c r="M176" s="86"/>
      <c r="N176" s="86"/>
      <c r="O176" s="394"/>
      <c r="P176" s="86"/>
      <c r="Q176" s="86"/>
      <c r="R176" s="435">
        <f>+M176/H176*100</f>
        <v>0</v>
      </c>
      <c r="S176" s="52"/>
      <c r="T176" s="52"/>
      <c r="V176" s="52">
        <f t="shared" si="54"/>
        <v>60000</v>
      </c>
      <c r="AI176" s="52"/>
    </row>
    <row r="177" spans="1:35" ht="12">
      <c r="A177" s="80">
        <f aca="true" t="shared" si="57" ref="A177:A185">+A176+1</f>
        <v>38</v>
      </c>
      <c r="B177" s="80"/>
      <c r="C177" s="80"/>
      <c r="D177" s="80"/>
      <c r="E177" s="85">
        <v>415</v>
      </c>
      <c r="F177" s="112"/>
      <c r="G177" s="83" t="s">
        <v>565</v>
      </c>
      <c r="H177" s="399"/>
      <c r="I177" s="399"/>
      <c r="J177" s="399"/>
      <c r="K177" s="399"/>
      <c r="L177" s="86"/>
      <c r="M177" s="86"/>
      <c r="N177" s="86"/>
      <c r="O177" s="394"/>
      <c r="P177" s="86"/>
      <c r="Q177" s="86"/>
      <c r="R177" s="435"/>
      <c r="S177" s="52"/>
      <c r="T177" s="52"/>
      <c r="V177" s="52">
        <f t="shared" si="54"/>
        <v>0</v>
      </c>
      <c r="AI177" s="52"/>
    </row>
    <row r="178" spans="1:35" ht="12">
      <c r="A178" s="80">
        <f t="shared" si="57"/>
        <v>39</v>
      </c>
      <c r="B178" s="80"/>
      <c r="C178" s="80"/>
      <c r="D178" s="80"/>
      <c r="E178" s="85">
        <v>416</v>
      </c>
      <c r="F178" s="112"/>
      <c r="G178" s="83" t="s">
        <v>547</v>
      </c>
      <c r="H178" s="399"/>
      <c r="I178" s="399"/>
      <c r="J178" s="399"/>
      <c r="K178" s="399"/>
      <c r="L178" s="86"/>
      <c r="M178" s="86"/>
      <c r="N178" s="86"/>
      <c r="O178" s="394"/>
      <c r="P178" s="86"/>
      <c r="Q178" s="86"/>
      <c r="R178" s="435"/>
      <c r="S178" s="52"/>
      <c r="T178" s="52"/>
      <c r="V178" s="52">
        <f t="shared" si="54"/>
        <v>0</v>
      </c>
      <c r="AI178" s="52"/>
    </row>
    <row r="179" spans="1:35" ht="12">
      <c r="A179" s="80">
        <f t="shared" si="57"/>
        <v>40</v>
      </c>
      <c r="B179" s="80"/>
      <c r="C179" s="80"/>
      <c r="D179" s="80"/>
      <c r="E179" s="85">
        <v>421</v>
      </c>
      <c r="F179" s="112"/>
      <c r="G179" s="83" t="s">
        <v>771</v>
      </c>
      <c r="H179" s="399">
        <v>15000</v>
      </c>
      <c r="I179" s="399"/>
      <c r="J179" s="399"/>
      <c r="K179" s="399"/>
      <c r="L179" s="86">
        <f t="shared" si="56"/>
        <v>15000</v>
      </c>
      <c r="M179" s="86">
        <v>6366.34</v>
      </c>
      <c r="N179" s="86"/>
      <c r="O179" s="394"/>
      <c r="P179" s="86"/>
      <c r="Q179" s="86">
        <v>2491.6</v>
      </c>
      <c r="R179" s="435">
        <f>+M179/H179*100</f>
        <v>42.44226666666667</v>
      </c>
      <c r="S179" s="52"/>
      <c r="T179" s="52"/>
      <c r="V179" s="52">
        <f t="shared" si="54"/>
        <v>6142.0599999999995</v>
      </c>
      <c r="AI179" s="52"/>
    </row>
    <row r="180" spans="1:35" ht="12">
      <c r="A180" s="80">
        <f t="shared" si="57"/>
        <v>41</v>
      </c>
      <c r="B180" s="80"/>
      <c r="C180" s="80"/>
      <c r="D180" s="80"/>
      <c r="E180" s="85">
        <v>422</v>
      </c>
      <c r="F180" s="112"/>
      <c r="G180" s="83" t="s">
        <v>772</v>
      </c>
      <c r="H180" s="399">
        <v>50000</v>
      </c>
      <c r="I180" s="399"/>
      <c r="J180" s="399"/>
      <c r="K180" s="399"/>
      <c r="L180" s="86">
        <f t="shared" si="56"/>
        <v>50000</v>
      </c>
      <c r="M180" s="86">
        <v>25692</v>
      </c>
      <c r="N180" s="86"/>
      <c r="O180" s="394"/>
      <c r="P180" s="86"/>
      <c r="Q180" s="86"/>
      <c r="R180" s="435">
        <f>+M180/H180*100</f>
        <v>51.38399999999999</v>
      </c>
      <c r="S180" s="52"/>
      <c r="T180" s="52"/>
      <c r="V180" s="52">
        <f t="shared" si="54"/>
        <v>24308</v>
      </c>
      <c r="AI180" s="52"/>
    </row>
    <row r="181" spans="1:35" ht="12">
      <c r="A181" s="80">
        <f t="shared" si="57"/>
        <v>42</v>
      </c>
      <c r="B181" s="80"/>
      <c r="C181" s="80"/>
      <c r="D181" s="80"/>
      <c r="E181" s="85">
        <v>423</v>
      </c>
      <c r="F181" s="112"/>
      <c r="G181" s="83" t="s">
        <v>614</v>
      </c>
      <c r="H181" s="399">
        <v>100000</v>
      </c>
      <c r="I181" s="399"/>
      <c r="J181" s="399"/>
      <c r="K181" s="399"/>
      <c r="L181" s="86">
        <f t="shared" si="56"/>
        <v>100000</v>
      </c>
      <c r="M181" s="86">
        <v>60380</v>
      </c>
      <c r="N181" s="86"/>
      <c r="O181" s="394"/>
      <c r="P181" s="86"/>
      <c r="Q181" s="86"/>
      <c r="R181" s="435">
        <f>+M181/H181*100</f>
        <v>60.38</v>
      </c>
      <c r="S181" s="52"/>
      <c r="T181" s="52"/>
      <c r="V181" s="52">
        <f t="shared" si="54"/>
        <v>39620</v>
      </c>
      <c r="AI181" s="52"/>
    </row>
    <row r="182" spans="1:35" ht="12">
      <c r="A182" s="80">
        <f t="shared" si="57"/>
        <v>43</v>
      </c>
      <c r="B182" s="80"/>
      <c r="C182" s="80"/>
      <c r="D182" s="80"/>
      <c r="E182" s="85">
        <v>424</v>
      </c>
      <c r="F182" s="125"/>
      <c r="G182" s="83" t="s">
        <v>554</v>
      </c>
      <c r="H182" s="399">
        <f>2000000+1000000</f>
        <v>3000000</v>
      </c>
      <c r="I182" s="399"/>
      <c r="J182" s="399"/>
      <c r="K182" s="399"/>
      <c r="L182" s="86">
        <f t="shared" si="56"/>
        <v>3000000</v>
      </c>
      <c r="M182" s="86">
        <v>1252340</v>
      </c>
      <c r="N182" s="86"/>
      <c r="O182" s="394"/>
      <c r="P182" s="86"/>
      <c r="Q182" s="86">
        <v>946358</v>
      </c>
      <c r="R182" s="435">
        <f>+M182/H182*100</f>
        <v>41.74466666666667</v>
      </c>
      <c r="S182" s="52"/>
      <c r="T182" s="52"/>
      <c r="V182" s="52">
        <f t="shared" si="54"/>
        <v>801302</v>
      </c>
      <c r="AI182" s="52"/>
    </row>
    <row r="183" spans="1:35" ht="12">
      <c r="A183" s="80">
        <f t="shared" si="57"/>
        <v>44</v>
      </c>
      <c r="B183" s="80"/>
      <c r="C183" s="80"/>
      <c r="D183" s="80"/>
      <c r="E183" s="85">
        <v>425</v>
      </c>
      <c r="F183" s="112"/>
      <c r="G183" s="83" t="s">
        <v>615</v>
      </c>
      <c r="H183" s="399"/>
      <c r="I183" s="399"/>
      <c r="J183" s="399"/>
      <c r="K183" s="399"/>
      <c r="L183" s="86"/>
      <c r="M183" s="86"/>
      <c r="N183" s="86"/>
      <c r="O183" s="55"/>
      <c r="P183" s="86"/>
      <c r="Q183" s="86"/>
      <c r="R183" s="435"/>
      <c r="S183" s="52"/>
      <c r="T183" s="52"/>
      <c r="V183" s="52">
        <f t="shared" si="54"/>
        <v>0</v>
      </c>
      <c r="AI183" s="52"/>
    </row>
    <row r="184" spans="1:35" ht="12">
      <c r="A184" s="80">
        <f t="shared" si="57"/>
        <v>45</v>
      </c>
      <c r="B184" s="80"/>
      <c r="C184" s="80"/>
      <c r="D184" s="80"/>
      <c r="E184" s="85">
        <v>426</v>
      </c>
      <c r="F184" s="112"/>
      <c r="G184" s="83" t="s">
        <v>530</v>
      </c>
      <c r="H184" s="399">
        <v>100000</v>
      </c>
      <c r="I184" s="399"/>
      <c r="J184" s="399"/>
      <c r="K184" s="414"/>
      <c r="L184" s="130">
        <f t="shared" si="56"/>
        <v>100000</v>
      </c>
      <c r="M184" s="86">
        <v>12892.4</v>
      </c>
      <c r="N184" s="86"/>
      <c r="O184" s="55"/>
      <c r="P184" s="86"/>
      <c r="Q184" s="130">
        <v>9520</v>
      </c>
      <c r="R184" s="436">
        <f>+M184/H184*100</f>
        <v>12.892399999999999</v>
      </c>
      <c r="S184" s="52"/>
      <c r="T184" s="52"/>
      <c r="V184" s="52">
        <f t="shared" si="54"/>
        <v>77587.6</v>
      </c>
      <c r="AI184" s="52"/>
    </row>
    <row r="185" spans="1:35" ht="12">
      <c r="A185" s="126">
        <f t="shared" si="57"/>
        <v>46</v>
      </c>
      <c r="B185" s="24"/>
      <c r="C185" s="126"/>
      <c r="D185" s="24"/>
      <c r="E185" s="127">
        <v>482</v>
      </c>
      <c r="F185" s="109"/>
      <c r="G185" s="129" t="s">
        <v>541</v>
      </c>
      <c r="H185" s="414">
        <f>2400000+T185</f>
        <v>2355000</v>
      </c>
      <c r="I185" s="415"/>
      <c r="J185" s="416"/>
      <c r="K185" s="416"/>
      <c r="L185" s="130">
        <f t="shared" si="56"/>
        <v>2355000</v>
      </c>
      <c r="M185" s="130">
        <v>1948552.39</v>
      </c>
      <c r="N185" s="130"/>
      <c r="O185" s="61"/>
      <c r="P185" s="387"/>
      <c r="Q185" s="130">
        <v>267652</v>
      </c>
      <c r="R185" s="436">
        <f>+M185/H185*100</f>
        <v>82.74107813163482</v>
      </c>
      <c r="S185" s="52"/>
      <c r="T185" s="52">
        <v>-45000</v>
      </c>
      <c r="V185" s="52">
        <f t="shared" si="54"/>
        <v>138795.61000000034</v>
      </c>
      <c r="AI185" s="52"/>
    </row>
    <row r="186" spans="1:35" ht="12">
      <c r="A186" s="131"/>
      <c r="B186" s="25"/>
      <c r="C186" s="131"/>
      <c r="D186" s="25"/>
      <c r="E186" s="132"/>
      <c r="F186" s="21"/>
      <c r="G186" s="134" t="s">
        <v>604</v>
      </c>
      <c r="H186" s="417"/>
      <c r="I186" s="407"/>
      <c r="J186" s="418"/>
      <c r="K186" s="418"/>
      <c r="L186" s="135"/>
      <c r="M186" s="135"/>
      <c r="N186" s="135"/>
      <c r="O186" s="53"/>
      <c r="P186" s="392"/>
      <c r="Q186" s="135"/>
      <c r="R186" s="437"/>
      <c r="S186" s="52"/>
      <c r="T186" s="52"/>
      <c r="V186" s="52">
        <f t="shared" si="54"/>
        <v>0</v>
      </c>
      <c r="AI186" s="52"/>
    </row>
    <row r="187" spans="1:35" ht="12">
      <c r="A187" s="133" t="s">
        <v>427</v>
      </c>
      <c r="B187" s="25"/>
      <c r="C187" s="131"/>
      <c r="D187" s="25"/>
      <c r="E187" s="132">
        <v>465</v>
      </c>
      <c r="F187" s="21"/>
      <c r="G187" s="134" t="s">
        <v>558</v>
      </c>
      <c r="H187" s="417">
        <f>+S187+T187</f>
        <v>24000</v>
      </c>
      <c r="I187" s="407"/>
      <c r="J187" s="418"/>
      <c r="K187" s="418"/>
      <c r="L187" s="86">
        <f>+H187+I187+J187+K187</f>
        <v>24000</v>
      </c>
      <c r="M187" s="393">
        <v>22097.55</v>
      </c>
      <c r="N187" s="130"/>
      <c r="O187" s="52"/>
      <c r="P187" s="434"/>
      <c r="Q187" s="135"/>
      <c r="R187" s="437">
        <f>+M187/H187*100</f>
        <v>92.073125</v>
      </c>
      <c r="S187" s="52">
        <v>1000</v>
      </c>
      <c r="T187" s="52">
        <v>23000</v>
      </c>
      <c r="V187" s="52">
        <f t="shared" si="54"/>
        <v>1902.4500000000007</v>
      </c>
      <c r="AI187" s="52"/>
    </row>
    <row r="188" spans="1:35" ht="12">
      <c r="A188" s="80">
        <f>+A185+1</f>
        <v>47</v>
      </c>
      <c r="B188" s="80"/>
      <c r="C188" s="80"/>
      <c r="D188" s="80"/>
      <c r="E188" s="85">
        <v>512</v>
      </c>
      <c r="F188" s="112"/>
      <c r="G188" s="83" t="s">
        <v>773</v>
      </c>
      <c r="H188" s="399">
        <f>50000+T188</f>
        <v>95000</v>
      </c>
      <c r="I188" s="399"/>
      <c r="J188" s="399"/>
      <c r="K188" s="417"/>
      <c r="L188" s="86">
        <f>+H188+I188+J188+K188</f>
        <v>95000</v>
      </c>
      <c r="M188" s="86">
        <v>44460</v>
      </c>
      <c r="N188" s="86"/>
      <c r="O188" s="55"/>
      <c r="P188" s="86"/>
      <c r="Q188" s="135"/>
      <c r="R188" s="437">
        <f>+M188/H188*100</f>
        <v>46.800000000000004</v>
      </c>
      <c r="S188" s="52"/>
      <c r="T188" s="52">
        <v>45000</v>
      </c>
      <c r="V188" s="52">
        <f t="shared" si="54"/>
        <v>50540</v>
      </c>
      <c r="AI188" s="52"/>
    </row>
    <row r="189" spans="1:35" ht="12">
      <c r="A189" s="26"/>
      <c r="B189" s="26"/>
      <c r="C189" s="26"/>
      <c r="D189" s="26"/>
      <c r="E189" s="29"/>
      <c r="F189" s="113"/>
      <c r="G189" s="48" t="s">
        <v>586</v>
      </c>
      <c r="H189" s="91">
        <f>SUM(H174:H188)</f>
        <v>9582000</v>
      </c>
      <c r="I189" s="91">
        <f aca="true" t="shared" si="58" ref="I189:Q189">SUM(I174:I188)</f>
        <v>0</v>
      </c>
      <c r="J189" s="91">
        <f t="shared" si="58"/>
        <v>200000</v>
      </c>
      <c r="K189" s="91">
        <f t="shared" si="58"/>
        <v>0</v>
      </c>
      <c r="L189" s="91">
        <f>SUM(L174:L188)</f>
        <v>9782000</v>
      </c>
      <c r="M189" s="91">
        <f t="shared" si="58"/>
        <v>6428548.709999999</v>
      </c>
      <c r="N189" s="91"/>
      <c r="O189" s="91">
        <f t="shared" si="58"/>
        <v>0</v>
      </c>
      <c r="P189" s="91">
        <f t="shared" si="58"/>
        <v>0</v>
      </c>
      <c r="Q189" s="91">
        <f t="shared" si="58"/>
        <v>1226021.6</v>
      </c>
      <c r="R189" s="458">
        <f>+M189/H189*100</f>
        <v>67.08984251721978</v>
      </c>
      <c r="S189" s="52"/>
      <c r="T189" s="52"/>
      <c r="V189" s="52">
        <f t="shared" si="54"/>
        <v>1927429.6900000013</v>
      </c>
      <c r="Y189" s="52"/>
      <c r="AI189" s="52"/>
    </row>
    <row r="190" spans="1:35" ht="12">
      <c r="A190" s="136"/>
      <c r="B190" s="24"/>
      <c r="C190" s="24"/>
      <c r="D190" s="24"/>
      <c r="E190" s="38"/>
      <c r="F190" s="114"/>
      <c r="G190" s="39" t="s">
        <v>689</v>
      </c>
      <c r="H190" s="415"/>
      <c r="I190" s="415"/>
      <c r="J190" s="415"/>
      <c r="K190" s="415"/>
      <c r="L190" s="61"/>
      <c r="M190" s="61"/>
      <c r="N190" s="61"/>
      <c r="O190" s="61"/>
      <c r="P190" s="61"/>
      <c r="Q190" s="61"/>
      <c r="R190" s="438"/>
      <c r="S190" s="52"/>
      <c r="T190" s="52"/>
      <c r="V190" s="52">
        <f t="shared" si="54"/>
        <v>0</v>
      </c>
      <c r="AI190" s="52"/>
    </row>
    <row r="191" spans="1:35" ht="12">
      <c r="A191" s="141"/>
      <c r="B191" s="33"/>
      <c r="C191" s="33"/>
      <c r="D191" s="33"/>
      <c r="E191" s="20"/>
      <c r="F191" s="17" t="s">
        <v>73</v>
      </c>
      <c r="G191" s="20" t="s">
        <v>674</v>
      </c>
      <c r="H191" s="10">
        <f>+H189</f>
        <v>9582000</v>
      </c>
      <c r="I191" s="10"/>
      <c r="J191" s="10"/>
      <c r="K191" s="10"/>
      <c r="L191" s="62"/>
      <c r="M191" s="62">
        <f>+M189</f>
        <v>6428548.709999999</v>
      </c>
      <c r="N191" s="62"/>
      <c r="O191" s="62"/>
      <c r="P191" s="62"/>
      <c r="Q191" s="62"/>
      <c r="R191" s="439"/>
      <c r="S191" s="52"/>
      <c r="T191" s="52"/>
      <c r="V191" s="52">
        <f t="shared" si="54"/>
        <v>3153451.290000001</v>
      </c>
      <c r="Z191" s="52"/>
      <c r="AA191" s="52"/>
      <c r="AI191" s="52"/>
    </row>
    <row r="192" spans="1:35" ht="12">
      <c r="A192" s="141"/>
      <c r="B192" s="33"/>
      <c r="C192" s="33"/>
      <c r="D192" s="33"/>
      <c r="E192" s="20"/>
      <c r="F192" s="17" t="s">
        <v>268</v>
      </c>
      <c r="G192" s="20" t="s">
        <v>675</v>
      </c>
      <c r="H192" s="10"/>
      <c r="I192" s="10"/>
      <c r="J192" s="10">
        <f>+J189</f>
        <v>200000</v>
      </c>
      <c r="K192" s="10"/>
      <c r="L192" s="62"/>
      <c r="M192" s="62"/>
      <c r="N192" s="62"/>
      <c r="O192" s="62"/>
      <c r="P192" s="62"/>
      <c r="Q192" s="62"/>
      <c r="R192" s="439"/>
      <c r="S192" s="52"/>
      <c r="T192" s="52"/>
      <c r="V192" s="52">
        <f t="shared" si="54"/>
        <v>0</v>
      </c>
      <c r="AI192" s="52"/>
    </row>
    <row r="193" spans="1:35" ht="12">
      <c r="A193" s="141"/>
      <c r="B193" s="33"/>
      <c r="C193" s="33"/>
      <c r="D193" s="33"/>
      <c r="E193" s="20"/>
      <c r="F193" s="17"/>
      <c r="G193" s="1" t="s">
        <v>690</v>
      </c>
      <c r="H193" s="10"/>
      <c r="I193" s="10"/>
      <c r="J193" s="10"/>
      <c r="K193" s="10"/>
      <c r="L193" s="62">
        <f>+H191+J192</f>
        <v>9782000</v>
      </c>
      <c r="M193" s="62"/>
      <c r="N193" s="62"/>
      <c r="O193" s="62"/>
      <c r="P193" s="62"/>
      <c r="Q193" s="62"/>
      <c r="R193" s="439"/>
      <c r="S193" s="52"/>
      <c r="T193" s="52"/>
      <c r="V193" s="52">
        <f t="shared" si="54"/>
        <v>0</v>
      </c>
      <c r="AI193" s="52"/>
    </row>
    <row r="194" spans="1:35" ht="12">
      <c r="A194" s="141"/>
      <c r="B194" s="33"/>
      <c r="C194" s="33"/>
      <c r="D194" s="33"/>
      <c r="E194" s="20"/>
      <c r="F194" s="115"/>
      <c r="G194" s="1" t="s">
        <v>654</v>
      </c>
      <c r="H194" s="10"/>
      <c r="I194" s="10"/>
      <c r="J194" s="10"/>
      <c r="K194" s="10"/>
      <c r="L194" s="62"/>
      <c r="M194" s="62"/>
      <c r="N194" s="62"/>
      <c r="O194" s="62"/>
      <c r="P194" s="62"/>
      <c r="Q194" s="62"/>
      <c r="R194" s="439"/>
      <c r="S194" s="52"/>
      <c r="T194" s="52"/>
      <c r="V194" s="52">
        <f t="shared" si="54"/>
        <v>0</v>
      </c>
      <c r="AI194" s="52"/>
    </row>
    <row r="195" spans="1:35" ht="12">
      <c r="A195" s="141"/>
      <c r="B195" s="33"/>
      <c r="C195" s="33"/>
      <c r="D195" s="33"/>
      <c r="E195" s="20"/>
      <c r="F195" s="17" t="s">
        <v>73</v>
      </c>
      <c r="G195" s="20" t="s">
        <v>674</v>
      </c>
      <c r="H195" s="10">
        <f>+H191</f>
        <v>9582000</v>
      </c>
      <c r="I195" s="10"/>
      <c r="J195" s="10"/>
      <c r="K195" s="10"/>
      <c r="L195" s="62"/>
      <c r="M195" s="62">
        <f>+M189</f>
        <v>6428548.709999999</v>
      </c>
      <c r="N195" s="62"/>
      <c r="O195" s="62"/>
      <c r="P195" s="62"/>
      <c r="Q195" s="62"/>
      <c r="R195" s="439"/>
      <c r="S195" s="52"/>
      <c r="T195" s="52"/>
      <c r="V195" s="52">
        <f t="shared" si="54"/>
        <v>3153451.290000001</v>
      </c>
      <c r="AI195" s="52"/>
    </row>
    <row r="196" spans="1:35" ht="12">
      <c r="A196" s="141"/>
      <c r="B196" s="33"/>
      <c r="C196" s="33"/>
      <c r="D196" s="33"/>
      <c r="E196" s="20"/>
      <c r="F196" s="17" t="s">
        <v>268</v>
      </c>
      <c r="G196" s="20" t="s">
        <v>675</v>
      </c>
      <c r="H196" s="10"/>
      <c r="I196" s="10"/>
      <c r="J196" s="10">
        <f>+J192</f>
        <v>200000</v>
      </c>
      <c r="K196" s="10"/>
      <c r="L196" s="62"/>
      <c r="M196" s="62"/>
      <c r="N196" s="62"/>
      <c r="O196" s="62"/>
      <c r="P196" s="62"/>
      <c r="Q196" s="62"/>
      <c r="R196" s="439"/>
      <c r="S196" s="52"/>
      <c r="T196" s="52"/>
      <c r="V196" s="52">
        <f t="shared" si="54"/>
        <v>0</v>
      </c>
      <c r="AI196" s="52"/>
    </row>
    <row r="197" spans="1:35" ht="12">
      <c r="A197" s="137"/>
      <c r="B197" s="25"/>
      <c r="C197" s="25"/>
      <c r="D197" s="25"/>
      <c r="E197" s="23"/>
      <c r="F197" s="21"/>
      <c r="G197" s="90" t="s">
        <v>616</v>
      </c>
      <c r="H197" s="407"/>
      <c r="I197" s="407"/>
      <c r="J197" s="407"/>
      <c r="K197" s="407"/>
      <c r="L197" s="53">
        <f>+H195+J196</f>
        <v>9782000</v>
      </c>
      <c r="M197" s="53"/>
      <c r="N197" s="53"/>
      <c r="O197" s="53"/>
      <c r="P197" s="53"/>
      <c r="Q197" s="53"/>
      <c r="R197" s="543">
        <f>+M195</f>
        <v>6428548.709999999</v>
      </c>
      <c r="S197" s="52"/>
      <c r="T197" s="52"/>
      <c r="V197" s="52">
        <f t="shared" si="54"/>
        <v>0</v>
      </c>
      <c r="AI197" s="52"/>
    </row>
    <row r="198" spans="1:35" ht="12">
      <c r="A198" s="33"/>
      <c r="B198" s="33"/>
      <c r="C198" s="33"/>
      <c r="D198" s="33"/>
      <c r="E198" s="20"/>
      <c r="F198" s="115"/>
      <c r="H198" s="10"/>
      <c r="I198" s="10"/>
      <c r="J198" s="10"/>
      <c r="K198" s="10"/>
      <c r="L198" s="62"/>
      <c r="M198" s="52"/>
      <c r="N198" s="52"/>
      <c r="O198" s="52"/>
      <c r="P198" s="52"/>
      <c r="Q198" s="52"/>
      <c r="S198" s="52"/>
      <c r="T198" s="52"/>
      <c r="V198" s="52">
        <f t="shared" si="54"/>
        <v>0</v>
      </c>
      <c r="AI198" s="52"/>
    </row>
    <row r="199" spans="1:35" ht="12">
      <c r="A199" s="83"/>
      <c r="B199" s="80">
        <v>4</v>
      </c>
      <c r="C199" s="83"/>
      <c r="D199" s="88"/>
      <c r="E199" s="93"/>
      <c r="F199" s="120"/>
      <c r="G199" s="94" t="s">
        <v>284</v>
      </c>
      <c r="H199" s="399"/>
      <c r="I199" s="399"/>
      <c r="J199" s="399"/>
      <c r="K199" s="399"/>
      <c r="L199" s="399"/>
      <c r="M199" s="86"/>
      <c r="N199" s="86"/>
      <c r="O199" s="86"/>
      <c r="P199" s="86"/>
      <c r="Q199" s="86"/>
      <c r="R199" s="435"/>
      <c r="S199" s="52"/>
      <c r="T199" s="52"/>
      <c r="V199" s="52">
        <f t="shared" si="54"/>
        <v>0</v>
      </c>
      <c r="AI199" s="52"/>
    </row>
    <row r="200" spans="1:35" ht="12">
      <c r="A200" s="83"/>
      <c r="B200" s="80"/>
      <c r="C200" s="80" t="s">
        <v>72</v>
      </c>
      <c r="D200" s="89"/>
      <c r="E200" s="93"/>
      <c r="F200" s="120"/>
      <c r="G200" s="94" t="s">
        <v>774</v>
      </c>
      <c r="H200" s="399"/>
      <c r="I200" s="399"/>
      <c r="J200" s="399"/>
      <c r="K200" s="399"/>
      <c r="L200" s="399"/>
      <c r="M200" s="86"/>
      <c r="N200" s="86"/>
      <c r="O200" s="86"/>
      <c r="P200" s="86"/>
      <c r="Q200" s="86"/>
      <c r="R200" s="435"/>
      <c r="S200" s="52"/>
      <c r="T200" s="52"/>
      <c r="V200" s="52">
        <f t="shared" si="54"/>
        <v>0</v>
      </c>
      <c r="AI200" s="52"/>
    </row>
    <row r="201" spans="1:35" ht="12">
      <c r="A201" s="83"/>
      <c r="B201" s="80"/>
      <c r="C201" s="83"/>
      <c r="D201" s="89">
        <v>130</v>
      </c>
      <c r="E201" s="93"/>
      <c r="F201" s="120"/>
      <c r="G201" s="94" t="s">
        <v>775</v>
      </c>
      <c r="H201" s="399"/>
      <c r="I201" s="399"/>
      <c r="J201" s="399"/>
      <c r="K201" s="399"/>
      <c r="L201" s="399"/>
      <c r="M201" s="86"/>
      <c r="N201" s="86"/>
      <c r="O201" s="86"/>
      <c r="P201" s="86"/>
      <c r="Q201" s="86"/>
      <c r="R201" s="435"/>
      <c r="S201" s="52"/>
      <c r="T201" s="52"/>
      <c r="V201" s="52">
        <f t="shared" si="54"/>
        <v>0</v>
      </c>
      <c r="AI201" s="52"/>
    </row>
    <row r="202" spans="1:35" ht="12">
      <c r="A202" s="80">
        <f>+A188+1</f>
        <v>48</v>
      </c>
      <c r="B202" s="80"/>
      <c r="C202" s="80"/>
      <c r="D202" s="80"/>
      <c r="E202" s="85">
        <v>411</v>
      </c>
      <c r="F202" s="112"/>
      <c r="G202" s="83" t="s">
        <v>683</v>
      </c>
      <c r="H202" s="86">
        <f>83544000+T202</f>
        <v>82018000</v>
      </c>
      <c r="I202" s="399"/>
      <c r="J202" s="399"/>
      <c r="K202" s="399"/>
      <c r="L202" s="399">
        <f aca="true" t="shared" si="59" ref="L202:L216">+H202+I202+J202+K202</f>
        <v>82018000</v>
      </c>
      <c r="M202" s="86">
        <v>79363966.62</v>
      </c>
      <c r="N202" s="86"/>
      <c r="O202" s="86"/>
      <c r="P202" s="86"/>
      <c r="Q202" s="86"/>
      <c r="R202" s="435">
        <f>+M202/H202*100</f>
        <v>96.76408424979883</v>
      </c>
      <c r="S202" s="52"/>
      <c r="T202" s="52">
        <f>-900000-626000</f>
        <v>-1526000</v>
      </c>
      <c r="V202" s="52">
        <f t="shared" si="54"/>
        <v>2654033.379999995</v>
      </c>
      <c r="AI202" s="52"/>
    </row>
    <row r="203" spans="1:35" ht="12">
      <c r="A203" s="80">
        <f aca="true" t="shared" si="60" ref="A203:A210">A202+1</f>
        <v>49</v>
      </c>
      <c r="B203" s="80"/>
      <c r="C203" s="80"/>
      <c r="D203" s="80"/>
      <c r="E203" s="85">
        <v>412</v>
      </c>
      <c r="F203" s="112"/>
      <c r="G203" s="83" t="s">
        <v>551</v>
      </c>
      <c r="H203" s="86">
        <f>15657000-578000</f>
        <v>15079000</v>
      </c>
      <c r="I203" s="399"/>
      <c r="J203" s="399"/>
      <c r="K203" s="399"/>
      <c r="L203" s="399">
        <f t="shared" si="59"/>
        <v>15079000</v>
      </c>
      <c r="M203" s="86">
        <v>14244546.68</v>
      </c>
      <c r="N203" s="86"/>
      <c r="O203" s="86"/>
      <c r="P203" s="86"/>
      <c r="Q203" s="86"/>
      <c r="R203" s="435">
        <f aca="true" t="shared" si="61" ref="R203:R220">+M203/H203*100</f>
        <v>94.46612295245043</v>
      </c>
      <c r="S203" s="52"/>
      <c r="T203" s="52"/>
      <c r="V203" s="52">
        <f t="shared" si="54"/>
        <v>834453.3200000003</v>
      </c>
      <c r="AI203" s="52"/>
    </row>
    <row r="204" spans="1:35" ht="12">
      <c r="A204" s="80">
        <f t="shared" si="60"/>
        <v>50</v>
      </c>
      <c r="B204" s="80"/>
      <c r="C204" s="80"/>
      <c r="D204" s="80"/>
      <c r="E204" s="85">
        <v>413</v>
      </c>
      <c r="F204" s="112"/>
      <c r="G204" s="83" t="s">
        <v>537</v>
      </c>
      <c r="H204" s="86">
        <v>500000</v>
      </c>
      <c r="I204" s="399"/>
      <c r="J204" s="399"/>
      <c r="K204" s="399"/>
      <c r="L204" s="399">
        <f t="shared" si="59"/>
        <v>500000</v>
      </c>
      <c r="M204" s="86"/>
      <c r="N204" s="86"/>
      <c r="O204" s="86"/>
      <c r="P204" s="86"/>
      <c r="Q204" s="86"/>
      <c r="R204" s="435">
        <f t="shared" si="61"/>
        <v>0</v>
      </c>
      <c r="S204" s="52"/>
      <c r="T204" s="52"/>
      <c r="V204" s="52">
        <f t="shared" si="54"/>
        <v>500000</v>
      </c>
      <c r="AI204" s="52"/>
    </row>
    <row r="205" spans="1:35" ht="12">
      <c r="A205" s="80">
        <f t="shared" si="60"/>
        <v>51</v>
      </c>
      <c r="B205" s="80"/>
      <c r="C205" s="80"/>
      <c r="D205" s="80"/>
      <c r="E205" s="85">
        <v>414</v>
      </c>
      <c r="F205" s="112"/>
      <c r="G205" s="83" t="s">
        <v>684</v>
      </c>
      <c r="H205" s="399">
        <f>4750000+T205</f>
        <v>5650000</v>
      </c>
      <c r="I205" s="399"/>
      <c r="J205" s="399">
        <v>3500000</v>
      </c>
      <c r="K205" s="399"/>
      <c r="L205" s="399">
        <f t="shared" si="59"/>
        <v>9150000</v>
      </c>
      <c r="M205" s="86">
        <v>5430989.69</v>
      </c>
      <c r="N205" s="86"/>
      <c r="O205" s="86">
        <v>1922428.42</v>
      </c>
      <c r="P205" s="86"/>
      <c r="Q205" s="86">
        <v>29229</v>
      </c>
      <c r="R205" s="435">
        <f t="shared" si="61"/>
        <v>96.12371132743364</v>
      </c>
      <c r="S205" s="52"/>
      <c r="T205" s="52">
        <v>900000</v>
      </c>
      <c r="V205" s="52">
        <f t="shared" si="54"/>
        <v>189781.3099999996</v>
      </c>
      <c r="AI205" s="52"/>
    </row>
    <row r="206" spans="1:35" ht="12">
      <c r="A206" s="80">
        <f t="shared" si="60"/>
        <v>52</v>
      </c>
      <c r="B206" s="80"/>
      <c r="C206" s="80"/>
      <c r="D206" s="80"/>
      <c r="E206" s="85">
        <v>415</v>
      </c>
      <c r="F206" s="112"/>
      <c r="G206" s="83" t="s">
        <v>565</v>
      </c>
      <c r="H206" s="399">
        <v>1720000</v>
      </c>
      <c r="I206" s="399"/>
      <c r="J206" s="399"/>
      <c r="K206" s="399"/>
      <c r="L206" s="399">
        <f t="shared" si="59"/>
        <v>1720000</v>
      </c>
      <c r="M206" s="86">
        <v>1478249.88</v>
      </c>
      <c r="N206" s="86"/>
      <c r="O206" s="86"/>
      <c r="P206" s="86"/>
      <c r="Q206" s="86"/>
      <c r="R206" s="435">
        <f t="shared" si="61"/>
        <v>85.94476046511627</v>
      </c>
      <c r="S206" s="52"/>
      <c r="T206" s="52"/>
      <c r="V206" s="52">
        <f t="shared" si="54"/>
        <v>241750.1200000001</v>
      </c>
      <c r="AI206" s="52"/>
    </row>
    <row r="207" spans="1:35" ht="12">
      <c r="A207" s="80">
        <f t="shared" si="60"/>
        <v>53</v>
      </c>
      <c r="B207" s="80"/>
      <c r="C207" s="80"/>
      <c r="D207" s="80"/>
      <c r="E207" s="85">
        <v>416</v>
      </c>
      <c r="F207" s="112"/>
      <c r="G207" s="83" t="s">
        <v>547</v>
      </c>
      <c r="H207" s="399">
        <f>890000+T207</f>
        <v>1010000</v>
      </c>
      <c r="I207" s="399"/>
      <c r="J207" s="399"/>
      <c r="K207" s="399"/>
      <c r="L207" s="399">
        <f t="shared" si="59"/>
        <v>1010000</v>
      </c>
      <c r="M207" s="86">
        <v>846085.7</v>
      </c>
      <c r="N207" s="86"/>
      <c r="O207" s="86"/>
      <c r="P207" s="86"/>
      <c r="Q207" s="86"/>
      <c r="R207" s="435">
        <f t="shared" si="61"/>
        <v>83.7708613861386</v>
      </c>
      <c r="S207" s="52"/>
      <c r="T207" s="52">
        <f>100000+20000</f>
        <v>120000</v>
      </c>
      <c r="V207" s="52">
        <f t="shared" si="54"/>
        <v>163914.30000000005</v>
      </c>
      <c r="AI207" s="52"/>
    </row>
    <row r="208" spans="1:35" ht="12">
      <c r="A208" s="80">
        <f t="shared" si="60"/>
        <v>54</v>
      </c>
      <c r="B208" s="80"/>
      <c r="C208" s="80"/>
      <c r="D208" s="80"/>
      <c r="E208" s="85">
        <v>421</v>
      </c>
      <c r="F208" s="112"/>
      <c r="G208" s="83" t="s">
        <v>771</v>
      </c>
      <c r="H208" s="399">
        <f>14095000+T208</f>
        <v>14495000</v>
      </c>
      <c r="I208" s="399"/>
      <c r="J208" s="399"/>
      <c r="K208" s="399"/>
      <c r="L208" s="399">
        <f t="shared" si="59"/>
        <v>14495000</v>
      </c>
      <c r="M208" s="86">
        <v>10428823.15</v>
      </c>
      <c r="N208" s="86"/>
      <c r="O208" s="86">
        <v>28800</v>
      </c>
      <c r="P208" s="86"/>
      <c r="Q208" s="86">
        <v>2933871.22</v>
      </c>
      <c r="R208" s="435">
        <f t="shared" si="61"/>
        <v>71.94772783718524</v>
      </c>
      <c r="S208" s="52"/>
      <c r="T208" s="52">
        <f>-300000+700000</f>
        <v>400000</v>
      </c>
      <c r="V208" s="52">
        <f t="shared" si="54"/>
        <v>1132305.629999999</v>
      </c>
      <c r="AI208" s="52"/>
    </row>
    <row r="209" spans="1:35" ht="12">
      <c r="A209" s="126">
        <f t="shared" si="60"/>
        <v>55</v>
      </c>
      <c r="B209" s="126"/>
      <c r="C209" s="126"/>
      <c r="D209" s="126"/>
      <c r="E209" s="127">
        <v>4211</v>
      </c>
      <c r="F209" s="152"/>
      <c r="G209" s="129" t="s">
        <v>568</v>
      </c>
      <c r="H209" s="414">
        <f>1800000+T209</f>
        <v>1650000</v>
      </c>
      <c r="I209" s="414"/>
      <c r="J209" s="414"/>
      <c r="K209" s="414"/>
      <c r="L209" s="399">
        <f t="shared" si="59"/>
        <v>1650000</v>
      </c>
      <c r="M209" s="86">
        <v>1115664.28</v>
      </c>
      <c r="N209" s="86"/>
      <c r="O209" s="86"/>
      <c r="P209" s="86"/>
      <c r="Q209" s="86"/>
      <c r="R209" s="435">
        <f t="shared" si="61"/>
        <v>67.61601696969697</v>
      </c>
      <c r="S209" s="52"/>
      <c r="T209" s="52">
        <f>-20000-130000</f>
        <v>-150000</v>
      </c>
      <c r="V209" s="52">
        <f t="shared" si="54"/>
        <v>534335.72</v>
      </c>
      <c r="AI209" s="52"/>
    </row>
    <row r="210" spans="1:35" ht="12">
      <c r="A210" s="136">
        <f t="shared" si="60"/>
        <v>56</v>
      </c>
      <c r="B210" s="126"/>
      <c r="C210" s="24"/>
      <c r="D210" s="126"/>
      <c r="E210" s="38">
        <v>422</v>
      </c>
      <c r="F210" s="152"/>
      <c r="G210" s="34" t="s">
        <v>772</v>
      </c>
      <c r="H210" s="399">
        <f>550000+T210</f>
        <v>980000</v>
      </c>
      <c r="I210" s="414"/>
      <c r="J210" s="415"/>
      <c r="K210" s="414"/>
      <c r="L210" s="399">
        <f t="shared" si="59"/>
        <v>980000</v>
      </c>
      <c r="M210" s="86">
        <v>855074.28</v>
      </c>
      <c r="N210" s="86"/>
      <c r="O210" s="86"/>
      <c r="P210" s="386"/>
      <c r="Q210" s="86">
        <v>9318</v>
      </c>
      <c r="R210" s="435">
        <f t="shared" si="61"/>
        <v>87.25247755102042</v>
      </c>
      <c r="S210" s="52"/>
      <c r="T210" s="52">
        <f>130000+300000</f>
        <v>430000</v>
      </c>
      <c r="V210" s="52">
        <f t="shared" si="54"/>
        <v>115607.71999999997</v>
      </c>
      <c r="AI210" s="52"/>
    </row>
    <row r="211" spans="1:35" ht="12">
      <c r="A211" s="136">
        <f>A210+1</f>
        <v>57</v>
      </c>
      <c r="B211" s="126"/>
      <c r="C211" s="24"/>
      <c r="D211" s="126"/>
      <c r="E211" s="38">
        <v>423</v>
      </c>
      <c r="F211" s="152"/>
      <c r="G211" s="34" t="s">
        <v>614</v>
      </c>
      <c r="H211" s="399">
        <f>6950000+T211</f>
        <v>7050000</v>
      </c>
      <c r="I211" s="414"/>
      <c r="J211" s="415">
        <v>1000000</v>
      </c>
      <c r="K211" s="414"/>
      <c r="L211" s="399">
        <f t="shared" si="59"/>
        <v>8050000</v>
      </c>
      <c r="M211" s="386">
        <v>6310588.87</v>
      </c>
      <c r="N211" s="386"/>
      <c r="O211" s="86">
        <v>1000000</v>
      </c>
      <c r="P211" s="55"/>
      <c r="Q211" s="86">
        <v>568356.71</v>
      </c>
      <c r="R211" s="435">
        <f t="shared" si="61"/>
        <v>89.51189886524823</v>
      </c>
      <c r="S211" s="52"/>
      <c r="T211" s="52">
        <f>-100000+200000</f>
        <v>100000</v>
      </c>
      <c r="V211" s="52">
        <f t="shared" si="54"/>
        <v>171054.41999999993</v>
      </c>
      <c r="AI211" s="52"/>
    </row>
    <row r="212" spans="1:35" ht="12">
      <c r="A212" s="136">
        <f>A211+1</f>
        <v>58</v>
      </c>
      <c r="B212" s="126"/>
      <c r="C212" s="24"/>
      <c r="D212" s="126"/>
      <c r="E212" s="85">
        <v>424</v>
      </c>
      <c r="F212" s="125"/>
      <c r="G212" s="83" t="s">
        <v>554</v>
      </c>
      <c r="H212" s="415">
        <f>1675000+S212</f>
        <v>2175000</v>
      </c>
      <c r="I212" s="414"/>
      <c r="J212" s="415"/>
      <c r="K212" s="399"/>
      <c r="L212" s="399">
        <f t="shared" si="59"/>
        <v>2175000</v>
      </c>
      <c r="M212" s="386">
        <v>1171412</v>
      </c>
      <c r="N212" s="386"/>
      <c r="O212" s="86"/>
      <c r="P212" s="55"/>
      <c r="Q212" s="86">
        <v>5200</v>
      </c>
      <c r="R212" s="435">
        <f t="shared" si="61"/>
        <v>53.85802298850575</v>
      </c>
      <c r="S212" s="52">
        <v>500000</v>
      </c>
      <c r="T212" s="52"/>
      <c r="V212" s="52">
        <f t="shared" si="54"/>
        <v>998388</v>
      </c>
      <c r="AI212" s="52"/>
    </row>
    <row r="213" spans="1:35" ht="12">
      <c r="A213" s="136">
        <f>A212+1</f>
        <v>59</v>
      </c>
      <c r="B213" s="80"/>
      <c r="C213" s="80"/>
      <c r="D213" s="80"/>
      <c r="E213" s="85">
        <v>425</v>
      </c>
      <c r="F213" s="112"/>
      <c r="G213" s="83" t="s">
        <v>615</v>
      </c>
      <c r="H213" s="399">
        <v>4900000</v>
      </c>
      <c r="I213" s="399"/>
      <c r="J213" s="399"/>
      <c r="K213" s="399"/>
      <c r="L213" s="399">
        <f t="shared" si="59"/>
        <v>4900000</v>
      </c>
      <c r="M213" s="386">
        <v>2199721.61</v>
      </c>
      <c r="N213" s="386"/>
      <c r="O213" s="86"/>
      <c r="P213" s="55"/>
      <c r="Q213" s="86">
        <v>284039.16</v>
      </c>
      <c r="R213" s="435">
        <f t="shared" si="61"/>
        <v>44.892277755102036</v>
      </c>
      <c r="T213" s="52"/>
      <c r="V213" s="52">
        <f t="shared" si="54"/>
        <v>2416239.23</v>
      </c>
      <c r="AI213" s="52"/>
    </row>
    <row r="214" spans="1:35" ht="12">
      <c r="A214" s="136">
        <f>A213+1</f>
        <v>60</v>
      </c>
      <c r="B214" s="80"/>
      <c r="C214" s="80"/>
      <c r="D214" s="80"/>
      <c r="E214" s="85">
        <v>426</v>
      </c>
      <c r="F214" s="112"/>
      <c r="G214" s="83" t="s">
        <v>530</v>
      </c>
      <c r="H214" s="399">
        <f>4535000+T214</f>
        <v>6135000</v>
      </c>
      <c r="I214" s="399"/>
      <c r="J214" s="399"/>
      <c r="K214" s="414"/>
      <c r="L214" s="414">
        <f t="shared" si="59"/>
        <v>6135000</v>
      </c>
      <c r="M214" s="386">
        <v>4652358.96</v>
      </c>
      <c r="N214" s="386"/>
      <c r="O214" s="86">
        <v>40000</v>
      </c>
      <c r="P214" s="55"/>
      <c r="Q214" s="86">
        <v>646937.64</v>
      </c>
      <c r="R214" s="436">
        <f t="shared" si="61"/>
        <v>75.8330718826406</v>
      </c>
      <c r="S214" s="52"/>
      <c r="T214" s="52">
        <v>1600000</v>
      </c>
      <c r="U214" s="52"/>
      <c r="V214" s="52">
        <f t="shared" si="54"/>
        <v>835703.4000000004</v>
      </c>
      <c r="AI214" s="52"/>
    </row>
    <row r="215" spans="1:35" ht="12">
      <c r="A215" s="125" t="s">
        <v>428</v>
      </c>
      <c r="B215" s="24"/>
      <c r="C215" s="126"/>
      <c r="D215" s="24"/>
      <c r="E215" s="127">
        <v>465</v>
      </c>
      <c r="F215" s="114"/>
      <c r="G215" s="129" t="s">
        <v>558</v>
      </c>
      <c r="H215" s="414">
        <f>+S215+T215</f>
        <v>627000</v>
      </c>
      <c r="I215" s="415"/>
      <c r="J215" s="416"/>
      <c r="K215" s="416"/>
      <c r="L215" s="399">
        <f t="shared" si="59"/>
        <v>627000</v>
      </c>
      <c r="M215" s="55">
        <v>625534.06</v>
      </c>
      <c r="N215" s="86"/>
      <c r="O215" s="86"/>
      <c r="P215" s="55"/>
      <c r="Q215" s="86"/>
      <c r="R215" s="436">
        <f t="shared" si="61"/>
        <v>99.76619776714514</v>
      </c>
      <c r="S215" s="52">
        <v>1000</v>
      </c>
      <c r="T215" s="52">
        <v>626000</v>
      </c>
      <c r="U215" s="52"/>
      <c r="V215" s="52">
        <f t="shared" si="54"/>
        <v>1465.9399999999441</v>
      </c>
      <c r="AI215" s="52"/>
    </row>
    <row r="216" spans="1:35" ht="12">
      <c r="A216" s="126">
        <f>+A214+1</f>
        <v>61</v>
      </c>
      <c r="B216" s="24"/>
      <c r="C216" s="126"/>
      <c r="D216" s="24"/>
      <c r="E216" s="127">
        <v>482</v>
      </c>
      <c r="F216" s="109"/>
      <c r="G216" s="129" t="s">
        <v>541</v>
      </c>
      <c r="H216" s="414">
        <v>1000000</v>
      </c>
      <c r="I216" s="415"/>
      <c r="J216" s="416"/>
      <c r="K216" s="416"/>
      <c r="L216" s="454">
        <f t="shared" si="59"/>
        <v>1000000</v>
      </c>
      <c r="M216" s="52">
        <v>711485.87</v>
      </c>
      <c r="N216" s="393"/>
      <c r="O216" s="393"/>
      <c r="P216" s="52"/>
      <c r="Q216" s="393"/>
      <c r="R216" s="436">
        <f t="shared" si="61"/>
        <v>71.14858699999999</v>
      </c>
      <c r="S216" s="52"/>
      <c r="T216" s="52"/>
      <c r="V216" s="52">
        <f t="shared" si="54"/>
        <v>288514.13</v>
      </c>
      <c r="AI216" s="52"/>
    </row>
    <row r="217" spans="1:35" ht="12">
      <c r="A217" s="131"/>
      <c r="B217" s="25"/>
      <c r="C217" s="131"/>
      <c r="D217" s="25"/>
      <c r="E217" s="132"/>
      <c r="F217" s="21"/>
      <c r="G217" s="134" t="s">
        <v>604</v>
      </c>
      <c r="H217" s="417"/>
      <c r="I217" s="407"/>
      <c r="J217" s="418"/>
      <c r="K217" s="418"/>
      <c r="L217" s="417"/>
      <c r="M217" s="52"/>
      <c r="N217" s="135"/>
      <c r="O217" s="393"/>
      <c r="P217" s="52"/>
      <c r="Q217" s="135"/>
      <c r="R217" s="437"/>
      <c r="S217" s="52"/>
      <c r="T217" s="52"/>
      <c r="V217" s="52">
        <f aca="true" t="shared" si="62" ref="V217:V280">+H217-(M217+Q217)</f>
        <v>0</v>
      </c>
      <c r="AI217" s="52"/>
    </row>
    <row r="218" spans="1:35" ht="12">
      <c r="A218" s="80">
        <f>A216+1</f>
        <v>62</v>
      </c>
      <c r="B218" s="80"/>
      <c r="C218" s="80"/>
      <c r="D218" s="80"/>
      <c r="E218" s="85">
        <v>512</v>
      </c>
      <c r="F218" s="112"/>
      <c r="G218" s="83" t="s">
        <v>773</v>
      </c>
      <c r="H218" s="399">
        <f>870000+S218</f>
        <v>1020000</v>
      </c>
      <c r="I218" s="399"/>
      <c r="J218" s="399"/>
      <c r="K218" s="417"/>
      <c r="L218" s="130">
        <f>+H218+I218+J218+K218</f>
        <v>1020000</v>
      </c>
      <c r="M218" s="386">
        <v>503300</v>
      </c>
      <c r="N218" s="386"/>
      <c r="O218" s="86"/>
      <c r="P218" s="55"/>
      <c r="Q218" s="86">
        <v>57623.88</v>
      </c>
      <c r="R218" s="437">
        <f t="shared" si="61"/>
        <v>49.34313725490196</v>
      </c>
      <c r="S218" s="52">
        <v>150000</v>
      </c>
      <c r="T218" s="52"/>
      <c r="V218" s="52">
        <f t="shared" si="62"/>
        <v>459076.12</v>
      </c>
      <c r="AI218" s="52"/>
    </row>
    <row r="219" spans="1:35" ht="12">
      <c r="A219" s="80">
        <f>A218+1</f>
        <v>63</v>
      </c>
      <c r="B219" s="80"/>
      <c r="C219" s="80"/>
      <c r="D219" s="80"/>
      <c r="E219" s="85">
        <v>515</v>
      </c>
      <c r="F219" s="112"/>
      <c r="G219" s="83" t="s">
        <v>536</v>
      </c>
      <c r="H219" s="399"/>
      <c r="I219" s="399"/>
      <c r="J219" s="399"/>
      <c r="K219" s="399"/>
      <c r="L219" s="399"/>
      <c r="M219" s="386"/>
      <c r="N219" s="386"/>
      <c r="O219" s="86"/>
      <c r="P219" s="55"/>
      <c r="Q219" s="86"/>
      <c r="R219" s="435"/>
      <c r="S219" s="52"/>
      <c r="T219" s="52"/>
      <c r="U219" s="52">
        <f>+M202+3472017.38</f>
        <v>82835984</v>
      </c>
      <c r="V219" s="52">
        <f t="shared" si="62"/>
        <v>0</v>
      </c>
      <c r="AI219" s="52"/>
    </row>
    <row r="220" spans="1:35" ht="12">
      <c r="A220" s="12"/>
      <c r="B220" s="12"/>
      <c r="C220" s="12"/>
      <c r="D220" s="12"/>
      <c r="E220" s="3"/>
      <c r="F220" s="103"/>
      <c r="G220" s="3" t="s">
        <v>617</v>
      </c>
      <c r="H220" s="91">
        <f>SUM(H202:H219)</f>
        <v>146009000</v>
      </c>
      <c r="I220" s="91">
        <f>SUM(I202:I219)</f>
        <v>0</v>
      </c>
      <c r="J220" s="91">
        <f>SUM(J202:J219)</f>
        <v>4500000</v>
      </c>
      <c r="K220" s="91">
        <f>SUM(K202:K219)</f>
        <v>0</v>
      </c>
      <c r="L220" s="91">
        <f>+H220+I220+J220</f>
        <v>150509000</v>
      </c>
      <c r="M220" s="499">
        <f>+SUM(M202:M219)</f>
        <v>129937801.65000002</v>
      </c>
      <c r="N220" s="499"/>
      <c r="O220" s="499">
        <f>+SUM(O202:O219)</f>
        <v>2991228.42</v>
      </c>
      <c r="P220" s="499">
        <f>+SUM(P202:P219)</f>
        <v>0</v>
      </c>
      <c r="Q220" s="499">
        <f>+SUM(Q202:Q219)</f>
        <v>4534575.61</v>
      </c>
      <c r="R220" s="458">
        <f t="shared" si="61"/>
        <v>88.99300841044047</v>
      </c>
      <c r="S220" s="52"/>
      <c r="T220" s="52"/>
      <c r="V220" s="52">
        <f t="shared" si="62"/>
        <v>11536622.73999998</v>
      </c>
      <c r="AB220" s="52"/>
      <c r="AI220" s="52"/>
    </row>
    <row r="221" spans="1:35" ht="12">
      <c r="A221" s="136"/>
      <c r="B221" s="24"/>
      <c r="C221" s="24"/>
      <c r="D221" s="24"/>
      <c r="E221" s="38"/>
      <c r="F221" s="114"/>
      <c r="G221" s="39" t="s">
        <v>691</v>
      </c>
      <c r="H221" s="415"/>
      <c r="I221" s="415"/>
      <c r="J221" s="415"/>
      <c r="K221" s="415"/>
      <c r="L221" s="61"/>
      <c r="M221" s="61"/>
      <c r="N221" s="61"/>
      <c r="O221" s="61"/>
      <c r="P221" s="61"/>
      <c r="Q221" s="61"/>
      <c r="R221" s="438"/>
      <c r="S221" s="52"/>
      <c r="T221" s="52"/>
      <c r="V221" s="52">
        <f t="shared" si="62"/>
        <v>0</v>
      </c>
      <c r="AI221" s="52"/>
    </row>
    <row r="222" spans="1:35" ht="12">
      <c r="A222" s="141"/>
      <c r="B222" s="33"/>
      <c r="C222" s="33"/>
      <c r="D222" s="33"/>
      <c r="E222" s="20"/>
      <c r="F222" s="17" t="s">
        <v>73</v>
      </c>
      <c r="G222" s="20" t="s">
        <v>674</v>
      </c>
      <c r="H222" s="10">
        <f>+H220</f>
        <v>146009000</v>
      </c>
      <c r="I222" s="10"/>
      <c r="J222" s="10"/>
      <c r="K222" s="10"/>
      <c r="L222" s="62"/>
      <c r="M222" s="62">
        <f>+M220</f>
        <v>129937801.65000002</v>
      </c>
      <c r="N222" s="62"/>
      <c r="O222" s="62"/>
      <c r="P222" s="62"/>
      <c r="Q222" s="62"/>
      <c r="R222" s="439"/>
      <c r="S222" s="52"/>
      <c r="T222" s="52"/>
      <c r="V222" s="52">
        <f t="shared" si="62"/>
        <v>16071198.34999998</v>
      </c>
      <c r="AC222" s="52"/>
      <c r="AD222" s="52"/>
      <c r="AI222" s="52"/>
    </row>
    <row r="223" spans="1:35" ht="12">
      <c r="A223" s="141"/>
      <c r="B223" s="33"/>
      <c r="C223" s="33"/>
      <c r="D223" s="33"/>
      <c r="E223" s="20"/>
      <c r="F223" s="17" t="s">
        <v>268</v>
      </c>
      <c r="G223" s="20" t="s">
        <v>675</v>
      </c>
      <c r="H223" s="10"/>
      <c r="I223" s="10"/>
      <c r="J223" s="10">
        <f>+J220-J211</f>
        <v>3500000</v>
      </c>
      <c r="K223" s="10"/>
      <c r="L223" s="62"/>
      <c r="M223" s="62"/>
      <c r="N223" s="62"/>
      <c r="O223" s="62">
        <f>+O220-O211-O208-O214</f>
        <v>1922428.42</v>
      </c>
      <c r="P223" s="62"/>
      <c r="Q223" s="62"/>
      <c r="R223" s="439"/>
      <c r="S223" s="52"/>
      <c r="T223" s="52"/>
      <c r="V223" s="52">
        <f t="shared" si="62"/>
        <v>0</v>
      </c>
      <c r="AI223" s="52"/>
    </row>
    <row r="224" spans="1:35" ht="12">
      <c r="A224" s="141"/>
      <c r="B224" s="33"/>
      <c r="C224" s="33"/>
      <c r="D224" s="33"/>
      <c r="E224" s="20"/>
      <c r="F224" s="17" t="s">
        <v>413</v>
      </c>
      <c r="G224" s="20" t="s">
        <v>767</v>
      </c>
      <c r="H224" s="10"/>
      <c r="I224" s="10"/>
      <c r="J224" s="10">
        <f>+J211</f>
        <v>1000000</v>
      </c>
      <c r="K224" s="10"/>
      <c r="L224" s="62"/>
      <c r="M224" s="62"/>
      <c r="N224" s="62"/>
      <c r="O224" s="62">
        <f>+O211</f>
        <v>1000000</v>
      </c>
      <c r="P224" s="62"/>
      <c r="Q224" s="62"/>
      <c r="R224" s="439"/>
      <c r="S224" s="52"/>
      <c r="T224" s="52"/>
      <c r="V224" s="52">
        <f t="shared" si="62"/>
        <v>0</v>
      </c>
      <c r="AI224" s="52"/>
    </row>
    <row r="225" spans="1:35" ht="12">
      <c r="A225" s="141"/>
      <c r="B225" s="33"/>
      <c r="C225" s="33"/>
      <c r="D225" s="33"/>
      <c r="E225" s="20"/>
      <c r="F225" s="17" t="s">
        <v>353</v>
      </c>
      <c r="G225" s="20" t="s">
        <v>776</v>
      </c>
      <c r="H225" s="10"/>
      <c r="I225" s="10"/>
      <c r="J225" s="10"/>
      <c r="K225" s="10"/>
      <c r="L225" s="62"/>
      <c r="M225" s="62"/>
      <c r="N225" s="62"/>
      <c r="O225" s="62">
        <f>+O208+O214</f>
        <v>68800</v>
      </c>
      <c r="P225" s="62"/>
      <c r="Q225" s="62"/>
      <c r="R225" s="439"/>
      <c r="S225" s="52"/>
      <c r="T225" s="52"/>
      <c r="V225" s="52">
        <f t="shared" si="62"/>
        <v>0</v>
      </c>
      <c r="AI225" s="52"/>
    </row>
    <row r="226" spans="1:35" ht="12">
      <c r="A226" s="141"/>
      <c r="B226" s="33"/>
      <c r="C226" s="33"/>
      <c r="D226" s="33"/>
      <c r="E226" s="20"/>
      <c r="F226" s="17"/>
      <c r="G226" s="1" t="s">
        <v>692</v>
      </c>
      <c r="H226" s="10"/>
      <c r="I226" s="10"/>
      <c r="J226" s="10"/>
      <c r="K226" s="10"/>
      <c r="L226" s="62">
        <f>+H222+J223+J224</f>
        <v>150509000</v>
      </c>
      <c r="M226" s="62"/>
      <c r="N226" s="62"/>
      <c r="O226" s="62"/>
      <c r="P226" s="62"/>
      <c r="Q226" s="62"/>
      <c r="R226" s="439"/>
      <c r="S226" s="52"/>
      <c r="T226" s="52"/>
      <c r="V226" s="52">
        <f t="shared" si="62"/>
        <v>0</v>
      </c>
      <c r="AI226" s="52"/>
    </row>
    <row r="227" spans="1:35" ht="12">
      <c r="A227" s="141"/>
      <c r="B227" s="33"/>
      <c r="C227" s="33"/>
      <c r="D227" s="33"/>
      <c r="E227" s="20"/>
      <c r="F227" s="17"/>
      <c r="G227" s="1" t="s">
        <v>655</v>
      </c>
      <c r="H227" s="10"/>
      <c r="I227" s="10"/>
      <c r="J227" s="10"/>
      <c r="K227" s="10"/>
      <c r="L227" s="62"/>
      <c r="M227" s="62"/>
      <c r="N227" s="62"/>
      <c r="O227" s="62"/>
      <c r="P227" s="62"/>
      <c r="Q227" s="62"/>
      <c r="R227" s="439"/>
      <c r="S227" s="52"/>
      <c r="T227" s="52"/>
      <c r="V227" s="52">
        <f t="shared" si="62"/>
        <v>0</v>
      </c>
      <c r="AI227" s="52"/>
    </row>
    <row r="228" spans="1:35" ht="12">
      <c r="A228" s="141"/>
      <c r="B228" s="33"/>
      <c r="C228" s="33"/>
      <c r="D228" s="33"/>
      <c r="E228" s="20"/>
      <c r="F228" s="17" t="s">
        <v>73</v>
      </c>
      <c r="G228" s="20" t="s">
        <v>674</v>
      </c>
      <c r="H228" s="10">
        <f>+H222</f>
        <v>146009000</v>
      </c>
      <c r="I228" s="10"/>
      <c r="J228" s="10"/>
      <c r="K228" s="10"/>
      <c r="L228" s="62"/>
      <c r="M228" s="62">
        <f>+M220</f>
        <v>129937801.65000002</v>
      </c>
      <c r="N228" s="62"/>
      <c r="O228" s="62"/>
      <c r="P228" s="62"/>
      <c r="Q228" s="62"/>
      <c r="R228" s="439"/>
      <c r="S228" s="52"/>
      <c r="T228" s="52"/>
      <c r="V228" s="52">
        <f t="shared" si="62"/>
        <v>16071198.34999998</v>
      </c>
      <c r="AI228" s="52"/>
    </row>
    <row r="229" spans="1:35" ht="12">
      <c r="A229" s="141"/>
      <c r="B229" s="33"/>
      <c r="C229" s="33"/>
      <c r="D229" s="33"/>
      <c r="E229" s="20"/>
      <c r="F229" s="17" t="s">
        <v>268</v>
      </c>
      <c r="G229" s="20" t="s">
        <v>675</v>
      </c>
      <c r="H229" s="10"/>
      <c r="I229" s="10"/>
      <c r="J229" s="10">
        <f>+J223</f>
        <v>3500000</v>
      </c>
      <c r="K229" s="10"/>
      <c r="L229" s="62"/>
      <c r="M229" s="62"/>
      <c r="N229" s="62"/>
      <c r="O229" s="62">
        <f>+O223</f>
        <v>1922428.42</v>
      </c>
      <c r="P229" s="62"/>
      <c r="Q229" s="62"/>
      <c r="R229" s="439"/>
      <c r="S229" s="52"/>
      <c r="T229" s="52"/>
      <c r="V229" s="52">
        <f t="shared" si="62"/>
        <v>0</v>
      </c>
      <c r="AI229" s="52"/>
    </row>
    <row r="230" spans="1:35" ht="12">
      <c r="A230" s="141"/>
      <c r="B230" s="33"/>
      <c r="C230" s="33"/>
      <c r="D230" s="33"/>
      <c r="E230" s="20"/>
      <c r="F230" s="17" t="s">
        <v>413</v>
      </c>
      <c r="G230" s="20" t="s">
        <v>767</v>
      </c>
      <c r="H230" s="10"/>
      <c r="I230" s="10"/>
      <c r="J230" s="10">
        <f>+J224</f>
        <v>1000000</v>
      </c>
      <c r="K230" s="10"/>
      <c r="L230" s="62"/>
      <c r="M230" s="62"/>
      <c r="N230" s="62"/>
      <c r="O230" s="62">
        <f>+O224</f>
        <v>1000000</v>
      </c>
      <c r="P230" s="62"/>
      <c r="Q230" s="62"/>
      <c r="R230" s="439"/>
      <c r="S230" s="52"/>
      <c r="T230" s="52"/>
      <c r="V230" s="52">
        <f t="shared" si="62"/>
        <v>0</v>
      </c>
      <c r="AI230" s="52"/>
    </row>
    <row r="231" spans="1:35" ht="12">
      <c r="A231" s="141"/>
      <c r="B231" s="33"/>
      <c r="C231" s="33"/>
      <c r="D231" s="33"/>
      <c r="E231" s="20"/>
      <c r="F231" s="17" t="s">
        <v>353</v>
      </c>
      <c r="G231" s="20" t="s">
        <v>776</v>
      </c>
      <c r="H231" s="10"/>
      <c r="I231" s="10"/>
      <c r="J231" s="10"/>
      <c r="K231" s="10"/>
      <c r="L231" s="62"/>
      <c r="M231" s="62"/>
      <c r="N231" s="62"/>
      <c r="O231" s="62">
        <f>+O225</f>
        <v>68800</v>
      </c>
      <c r="P231" s="62"/>
      <c r="Q231" s="62"/>
      <c r="R231" s="439"/>
      <c r="S231" s="52"/>
      <c r="T231" s="52"/>
      <c r="V231" s="52">
        <f t="shared" si="62"/>
        <v>0</v>
      </c>
      <c r="AI231" s="52"/>
    </row>
    <row r="232" spans="1:35" ht="12">
      <c r="A232" s="137"/>
      <c r="B232" s="25"/>
      <c r="C232" s="25"/>
      <c r="D232" s="25"/>
      <c r="E232" s="23"/>
      <c r="F232" s="21"/>
      <c r="G232" s="90" t="s">
        <v>618</v>
      </c>
      <c r="H232" s="407"/>
      <c r="I232" s="407"/>
      <c r="J232" s="407"/>
      <c r="K232" s="407"/>
      <c r="L232" s="53">
        <f>+H228+J229+J230</f>
        <v>150509000</v>
      </c>
      <c r="M232" s="53"/>
      <c r="N232" s="53"/>
      <c r="O232" s="53"/>
      <c r="P232" s="53"/>
      <c r="Q232" s="53"/>
      <c r="R232" s="543">
        <f>+M228+O229+O230+O231</f>
        <v>132929030.07000002</v>
      </c>
      <c r="S232" s="52"/>
      <c r="T232" s="52"/>
      <c r="V232" s="52">
        <f t="shared" si="62"/>
        <v>0</v>
      </c>
      <c r="AI232" s="52"/>
    </row>
    <row r="233" spans="1:35" ht="12">
      <c r="A233" s="33"/>
      <c r="B233" s="33"/>
      <c r="C233" s="33"/>
      <c r="D233" s="33"/>
      <c r="E233" s="20"/>
      <c r="F233" s="115"/>
      <c r="G233" s="9"/>
      <c r="H233" s="10"/>
      <c r="I233" s="10"/>
      <c r="J233" s="10"/>
      <c r="K233" s="10"/>
      <c r="L233" s="62"/>
      <c r="M233" s="52"/>
      <c r="N233" s="52"/>
      <c r="O233" s="52"/>
      <c r="P233" s="52"/>
      <c r="Q233" s="52"/>
      <c r="S233" s="52"/>
      <c r="T233" s="52"/>
      <c r="V233" s="52">
        <f t="shared" si="62"/>
        <v>0</v>
      </c>
      <c r="AI233" s="52"/>
    </row>
    <row r="234" spans="1:35" ht="12">
      <c r="A234" s="80"/>
      <c r="B234" s="80"/>
      <c r="C234" s="80" t="s">
        <v>75</v>
      </c>
      <c r="D234" s="80"/>
      <c r="E234" s="85"/>
      <c r="F234" s="112"/>
      <c r="G234" s="94" t="s">
        <v>777</v>
      </c>
      <c r="H234" s="399"/>
      <c r="I234" s="399"/>
      <c r="J234" s="399"/>
      <c r="K234" s="421"/>
      <c r="L234" s="386"/>
      <c r="M234" s="86"/>
      <c r="N234" s="86"/>
      <c r="O234" s="86"/>
      <c r="P234" s="86"/>
      <c r="Q234" s="86"/>
      <c r="R234" s="435"/>
      <c r="S234" s="52"/>
      <c r="T234" s="52"/>
      <c r="V234" s="52">
        <f t="shared" si="62"/>
        <v>0</v>
      </c>
      <c r="AI234" s="52"/>
    </row>
    <row r="235" spans="1:35" ht="12">
      <c r="A235" s="80"/>
      <c r="B235" s="80"/>
      <c r="C235" s="80"/>
      <c r="D235" s="80"/>
      <c r="E235" s="85"/>
      <c r="F235" s="112"/>
      <c r="G235" s="83"/>
      <c r="H235" s="399"/>
      <c r="I235" s="399"/>
      <c r="J235" s="399"/>
      <c r="K235" s="421"/>
      <c r="L235" s="386"/>
      <c r="M235" s="86"/>
      <c r="N235" s="86"/>
      <c r="O235" s="86"/>
      <c r="P235" s="86"/>
      <c r="Q235" s="86"/>
      <c r="R235" s="435"/>
      <c r="S235" s="52"/>
      <c r="T235" s="52"/>
      <c r="V235" s="52">
        <f t="shared" si="62"/>
        <v>0</v>
      </c>
      <c r="AI235" s="52"/>
    </row>
    <row r="236" spans="1:35" ht="12">
      <c r="A236" s="80"/>
      <c r="B236" s="80"/>
      <c r="C236" s="80" t="s">
        <v>76</v>
      </c>
      <c r="D236" s="139"/>
      <c r="E236" s="85"/>
      <c r="F236" s="112"/>
      <c r="G236" s="82" t="s">
        <v>778</v>
      </c>
      <c r="H236" s="399"/>
      <c r="I236" s="399"/>
      <c r="J236" s="399"/>
      <c r="K236" s="421"/>
      <c r="L236" s="386"/>
      <c r="M236" s="86"/>
      <c r="N236" s="86"/>
      <c r="O236" s="86"/>
      <c r="P236" s="86"/>
      <c r="Q236" s="86"/>
      <c r="R236" s="435"/>
      <c r="S236" s="52"/>
      <c r="T236" s="52"/>
      <c r="V236" s="52">
        <f t="shared" si="62"/>
        <v>0</v>
      </c>
      <c r="AI236" s="52"/>
    </row>
    <row r="237" spans="1:35" ht="12">
      <c r="A237" s="80"/>
      <c r="B237" s="80"/>
      <c r="C237" s="80"/>
      <c r="D237" s="139" t="s">
        <v>0</v>
      </c>
      <c r="E237" s="85"/>
      <c r="F237" s="112"/>
      <c r="G237" s="82" t="s">
        <v>693</v>
      </c>
      <c r="H237" s="399"/>
      <c r="I237" s="399"/>
      <c r="J237" s="399"/>
      <c r="K237" s="421"/>
      <c r="L237" s="386"/>
      <c r="M237" s="86"/>
      <c r="N237" s="86"/>
      <c r="O237" s="86"/>
      <c r="P237" s="86"/>
      <c r="Q237" s="86"/>
      <c r="R237" s="435"/>
      <c r="S237" s="52"/>
      <c r="T237" s="52"/>
      <c r="V237" s="52">
        <f t="shared" si="62"/>
        <v>0</v>
      </c>
      <c r="AI237" s="52"/>
    </row>
    <row r="238" spans="1:35" ht="12">
      <c r="A238" s="84">
        <f>+A219+1</f>
        <v>64</v>
      </c>
      <c r="B238" s="81"/>
      <c r="C238" s="81"/>
      <c r="D238" s="83"/>
      <c r="E238" s="85">
        <v>472</v>
      </c>
      <c r="F238" s="112"/>
      <c r="G238" s="83" t="s">
        <v>779</v>
      </c>
      <c r="H238" s="399">
        <v>1000000</v>
      </c>
      <c r="I238" s="420"/>
      <c r="J238" s="420"/>
      <c r="K238" s="460"/>
      <c r="L238" s="386">
        <f>+H238+I238+J238</f>
        <v>1000000</v>
      </c>
      <c r="M238" s="86">
        <v>280602.5</v>
      </c>
      <c r="N238" s="86"/>
      <c r="O238" s="86"/>
      <c r="P238" s="86"/>
      <c r="Q238" s="536">
        <v>718639.63</v>
      </c>
      <c r="R238" s="435">
        <f>+M238/H238*100</f>
        <v>28.060249999999996</v>
      </c>
      <c r="S238" s="52"/>
      <c r="T238" s="52"/>
      <c r="V238" s="52">
        <f t="shared" si="62"/>
        <v>757.8699999999953</v>
      </c>
      <c r="AI238" s="52"/>
    </row>
    <row r="239" spans="1:35" ht="12">
      <c r="A239" s="80"/>
      <c r="B239" s="80"/>
      <c r="C239" s="80"/>
      <c r="D239" s="80"/>
      <c r="E239" s="85"/>
      <c r="F239" s="112"/>
      <c r="G239" s="83"/>
      <c r="H239" s="399"/>
      <c r="I239" s="399"/>
      <c r="J239" s="399"/>
      <c r="K239" s="421"/>
      <c r="L239" s="386"/>
      <c r="M239" s="86"/>
      <c r="N239" s="86"/>
      <c r="O239" s="86"/>
      <c r="P239" s="86"/>
      <c r="Q239" s="86"/>
      <c r="R239" s="435"/>
      <c r="S239" s="52"/>
      <c r="T239" s="52"/>
      <c r="V239" s="52">
        <f t="shared" si="62"/>
        <v>0</v>
      </c>
      <c r="AI239" s="52"/>
    </row>
    <row r="240" spans="1:35" ht="12">
      <c r="A240" s="80"/>
      <c r="B240" s="80"/>
      <c r="C240" s="80" t="s">
        <v>74</v>
      </c>
      <c r="D240" s="81"/>
      <c r="E240" s="85"/>
      <c r="F240" s="112"/>
      <c r="G240" s="82" t="s">
        <v>694</v>
      </c>
      <c r="H240" s="399"/>
      <c r="I240" s="399"/>
      <c r="J240" s="399"/>
      <c r="K240" s="421"/>
      <c r="L240" s="421"/>
      <c r="M240" s="86"/>
      <c r="N240" s="86"/>
      <c r="O240" s="86"/>
      <c r="P240" s="86"/>
      <c r="Q240" s="86"/>
      <c r="R240" s="435"/>
      <c r="S240" s="52"/>
      <c r="T240" s="52"/>
      <c r="V240" s="52">
        <f t="shared" si="62"/>
        <v>0</v>
      </c>
      <c r="AI240" s="52"/>
    </row>
    <row r="241" spans="1:35" ht="12">
      <c r="A241" s="80"/>
      <c r="B241" s="80"/>
      <c r="C241" s="80"/>
      <c r="D241" s="139" t="s">
        <v>0</v>
      </c>
      <c r="E241" s="85"/>
      <c r="F241" s="112"/>
      <c r="G241" s="82" t="s">
        <v>693</v>
      </c>
      <c r="H241" s="399"/>
      <c r="I241" s="399"/>
      <c r="J241" s="399"/>
      <c r="K241" s="421"/>
      <c r="L241" s="421"/>
      <c r="M241" s="86"/>
      <c r="N241" s="86"/>
      <c r="O241" s="86"/>
      <c r="P241" s="86"/>
      <c r="Q241" s="86"/>
      <c r="R241" s="435"/>
      <c r="S241" s="52"/>
      <c r="T241" s="52"/>
      <c r="V241" s="52">
        <f t="shared" si="62"/>
        <v>0</v>
      </c>
      <c r="AI241" s="52"/>
    </row>
    <row r="242" spans="1:35" ht="12">
      <c r="A242" s="80">
        <f>+A238+1</f>
        <v>65</v>
      </c>
      <c r="B242" s="80"/>
      <c r="C242" s="80"/>
      <c r="D242" s="88"/>
      <c r="E242" s="85">
        <v>472</v>
      </c>
      <c r="F242" s="112"/>
      <c r="G242" s="83" t="s">
        <v>779</v>
      </c>
      <c r="H242" s="399">
        <f>17413000+S242</f>
        <v>18025477</v>
      </c>
      <c r="I242" s="399"/>
      <c r="J242" s="399"/>
      <c r="K242" s="421"/>
      <c r="L242" s="421">
        <f>+H242+I242+J242</f>
        <v>18025477</v>
      </c>
      <c r="M242" s="86">
        <v>14552170.39</v>
      </c>
      <c r="N242" s="86"/>
      <c r="O242" s="86"/>
      <c r="P242" s="86"/>
      <c r="Q242" s="86">
        <v>3255000</v>
      </c>
      <c r="R242" s="435">
        <f>+M242/H242*100</f>
        <v>80.73112511807594</v>
      </c>
      <c r="S242" s="52">
        <v>612477</v>
      </c>
      <c r="T242" s="52"/>
      <c r="V242" s="52">
        <f t="shared" si="62"/>
        <v>218306.6099999994</v>
      </c>
      <c r="AI242" s="52"/>
    </row>
    <row r="243" spans="1:35" ht="12">
      <c r="A243" s="80"/>
      <c r="B243" s="80"/>
      <c r="C243" s="80"/>
      <c r="D243" s="88"/>
      <c r="E243" s="85"/>
      <c r="F243" s="112"/>
      <c r="G243" s="83"/>
      <c r="H243" s="399"/>
      <c r="I243" s="399"/>
      <c r="J243" s="399"/>
      <c r="K243" s="421"/>
      <c r="L243" s="421"/>
      <c r="M243" s="86"/>
      <c r="N243" s="86"/>
      <c r="O243" s="86"/>
      <c r="P243" s="86"/>
      <c r="Q243" s="86"/>
      <c r="R243" s="435"/>
      <c r="S243" s="52"/>
      <c r="T243" s="52"/>
      <c r="V243" s="52">
        <f t="shared" si="62"/>
        <v>0</v>
      </c>
      <c r="AI243" s="52"/>
    </row>
    <row r="244" spans="1:35" ht="12">
      <c r="A244" s="80"/>
      <c r="B244" s="80"/>
      <c r="C244" s="80" t="s">
        <v>77</v>
      </c>
      <c r="D244" s="88"/>
      <c r="E244" s="82"/>
      <c r="F244" s="153"/>
      <c r="G244" s="93" t="s">
        <v>756</v>
      </c>
      <c r="H244" s="399"/>
      <c r="I244" s="399"/>
      <c r="J244" s="399"/>
      <c r="K244" s="421"/>
      <c r="L244" s="421"/>
      <c r="M244" s="86"/>
      <c r="N244" s="86"/>
      <c r="O244" s="86"/>
      <c r="P244" s="86"/>
      <c r="Q244" s="86"/>
      <c r="R244" s="435"/>
      <c r="S244" s="52"/>
      <c r="T244" s="52"/>
      <c r="V244" s="52">
        <f t="shared" si="62"/>
        <v>0</v>
      </c>
      <c r="AI244" s="52"/>
    </row>
    <row r="245" spans="1:35" ht="12">
      <c r="A245" s="80"/>
      <c r="B245" s="80"/>
      <c r="C245" s="80"/>
      <c r="D245" s="89">
        <v>912</v>
      </c>
      <c r="E245" s="82"/>
      <c r="F245" s="153"/>
      <c r="G245" s="93" t="s">
        <v>595</v>
      </c>
      <c r="H245" s="399"/>
      <c r="I245" s="399"/>
      <c r="J245" s="399"/>
      <c r="K245" s="421"/>
      <c r="L245" s="421"/>
      <c r="M245" s="86"/>
      <c r="N245" s="86"/>
      <c r="O245" s="86"/>
      <c r="P245" s="86"/>
      <c r="Q245" s="86"/>
      <c r="R245" s="435"/>
      <c r="S245" s="52"/>
      <c r="T245" s="52"/>
      <c r="V245" s="52">
        <f t="shared" si="62"/>
        <v>0</v>
      </c>
      <c r="AI245" s="52"/>
    </row>
    <row r="246" spans="1:35" ht="24">
      <c r="A246" s="80">
        <f>+A242+1</f>
        <v>66</v>
      </c>
      <c r="B246" s="80"/>
      <c r="C246" s="80"/>
      <c r="D246" s="80"/>
      <c r="E246" s="85">
        <v>472</v>
      </c>
      <c r="F246" s="112"/>
      <c r="G246" s="450" t="s">
        <v>780</v>
      </c>
      <c r="H246" s="399">
        <f>6000000+S246</f>
        <v>6000000</v>
      </c>
      <c r="I246" s="399"/>
      <c r="J246" s="399">
        <v>930000</v>
      </c>
      <c r="K246" s="421"/>
      <c r="L246" s="421">
        <f>+H246+I246+J246</f>
        <v>6930000</v>
      </c>
      <c r="M246" s="86">
        <v>3233955.32</v>
      </c>
      <c r="N246" s="86"/>
      <c r="O246" s="86">
        <v>930000</v>
      </c>
      <c r="P246" s="86"/>
      <c r="Q246" s="86">
        <v>1996732.8</v>
      </c>
      <c r="R246" s="435">
        <f>+M246/H246*100</f>
        <v>53.89925533333333</v>
      </c>
      <c r="S246" s="52">
        <f>600000-600000</f>
        <v>0</v>
      </c>
      <c r="T246" s="52"/>
      <c r="V246" s="52">
        <f t="shared" si="62"/>
        <v>769311.8799999999</v>
      </c>
      <c r="AI246" s="52"/>
    </row>
    <row r="247" spans="1:35" ht="24">
      <c r="A247" s="80">
        <f>+A246+1</f>
        <v>67</v>
      </c>
      <c r="B247" s="80"/>
      <c r="C247" s="80"/>
      <c r="D247" s="80"/>
      <c r="E247" s="85">
        <v>472</v>
      </c>
      <c r="F247" s="112"/>
      <c r="G247" s="450" t="s">
        <v>781</v>
      </c>
      <c r="H247" s="399">
        <v>3750000</v>
      </c>
      <c r="I247" s="399"/>
      <c r="J247" s="399"/>
      <c r="K247" s="421"/>
      <c r="L247" s="421">
        <f>+H247+I247+J247</f>
        <v>3750000</v>
      </c>
      <c r="M247" s="86">
        <v>1589414</v>
      </c>
      <c r="N247" s="86"/>
      <c r="O247" s="86"/>
      <c r="P247" s="86"/>
      <c r="Q247" s="86">
        <v>705590.9</v>
      </c>
      <c r="R247" s="435">
        <f>+M247/H247*100</f>
        <v>42.38437333333333</v>
      </c>
      <c r="S247" s="52"/>
      <c r="T247" s="52"/>
      <c r="V247" s="52">
        <f t="shared" si="62"/>
        <v>1454995.1</v>
      </c>
      <c r="AI247" s="52"/>
    </row>
    <row r="248" spans="1:35" ht="12">
      <c r="A248" s="80"/>
      <c r="B248" s="80"/>
      <c r="C248" s="80"/>
      <c r="D248" s="88"/>
      <c r="E248" s="85"/>
      <c r="F248" s="112"/>
      <c r="G248" s="83"/>
      <c r="H248" s="399"/>
      <c r="I248" s="399"/>
      <c r="J248" s="399"/>
      <c r="K248" s="421"/>
      <c r="L248" s="421"/>
      <c r="M248" s="86"/>
      <c r="N248" s="86"/>
      <c r="O248" s="86"/>
      <c r="P248" s="86"/>
      <c r="Q248" s="86"/>
      <c r="R248" s="435"/>
      <c r="S248" s="52"/>
      <c r="T248" s="52"/>
      <c r="V248" s="52">
        <f t="shared" si="62"/>
        <v>0</v>
      </c>
      <c r="AI248" s="52"/>
    </row>
    <row r="249" spans="1:35" ht="12">
      <c r="A249" s="80"/>
      <c r="B249" s="80"/>
      <c r="C249" s="80" t="s">
        <v>83</v>
      </c>
      <c r="D249" s="88"/>
      <c r="E249" s="81"/>
      <c r="F249" s="153"/>
      <c r="G249" s="93" t="s">
        <v>757</v>
      </c>
      <c r="H249" s="422"/>
      <c r="I249" s="422"/>
      <c r="J249" s="422"/>
      <c r="K249" s="423"/>
      <c r="L249" s="423"/>
      <c r="M249" s="86"/>
      <c r="N249" s="86"/>
      <c r="O249" s="86"/>
      <c r="P249" s="86"/>
      <c r="Q249" s="86"/>
      <c r="R249" s="435"/>
      <c r="S249" s="52"/>
      <c r="T249" s="52"/>
      <c r="V249" s="52">
        <f t="shared" si="62"/>
        <v>0</v>
      </c>
      <c r="AI249" s="52"/>
    </row>
    <row r="250" spans="1:35" ht="12">
      <c r="A250" s="80"/>
      <c r="B250" s="80"/>
      <c r="C250" s="80"/>
      <c r="D250" s="89">
        <v>920</v>
      </c>
      <c r="E250" s="81"/>
      <c r="F250" s="153"/>
      <c r="G250" s="93" t="s">
        <v>590</v>
      </c>
      <c r="H250" s="422"/>
      <c r="I250" s="422"/>
      <c r="J250" s="422"/>
      <c r="K250" s="423"/>
      <c r="L250" s="423"/>
      <c r="M250" s="86"/>
      <c r="N250" s="86"/>
      <c r="O250" s="86"/>
      <c r="P250" s="86"/>
      <c r="Q250" s="86"/>
      <c r="R250" s="435"/>
      <c r="S250" s="52"/>
      <c r="T250" s="52"/>
      <c r="V250" s="52">
        <f t="shared" si="62"/>
        <v>0</v>
      </c>
      <c r="AI250" s="52"/>
    </row>
    <row r="251" spans="1:35" ht="24">
      <c r="A251" s="80">
        <f>+A247+1</f>
        <v>68</v>
      </c>
      <c r="B251" s="80"/>
      <c r="C251" s="80"/>
      <c r="D251" s="80"/>
      <c r="E251" s="85">
        <v>472</v>
      </c>
      <c r="F251" s="112"/>
      <c r="G251" s="450" t="s">
        <v>780</v>
      </c>
      <c r="H251" s="399">
        <f>4000000+S251</f>
        <v>4000000</v>
      </c>
      <c r="I251" s="399"/>
      <c r="J251" s="399">
        <v>570000</v>
      </c>
      <c r="K251" s="421"/>
      <c r="L251" s="421">
        <f>+H251+I251+J251</f>
        <v>4570000</v>
      </c>
      <c r="M251" s="86">
        <v>2114178.68</v>
      </c>
      <c r="N251" s="86"/>
      <c r="O251" s="86">
        <v>570000</v>
      </c>
      <c r="P251" s="86"/>
      <c r="Q251" s="86">
        <v>1407456</v>
      </c>
      <c r="R251" s="435">
        <f>+M251/H251*100</f>
        <v>52.85446700000001</v>
      </c>
      <c r="S251" s="52">
        <f>600000-600000</f>
        <v>0</v>
      </c>
      <c r="T251" s="52"/>
      <c r="V251" s="52">
        <f t="shared" si="62"/>
        <v>478365.31999999983</v>
      </c>
      <c r="AI251" s="52"/>
    </row>
    <row r="252" spans="1:35" ht="12">
      <c r="A252" s="80"/>
      <c r="B252" s="80"/>
      <c r="C252" s="80"/>
      <c r="D252" s="88"/>
      <c r="E252" s="85"/>
      <c r="F252" s="112"/>
      <c r="G252" s="83"/>
      <c r="H252" s="399"/>
      <c r="I252" s="399"/>
      <c r="J252" s="399"/>
      <c r="K252" s="421"/>
      <c r="L252" s="421"/>
      <c r="M252" s="86"/>
      <c r="N252" s="86"/>
      <c r="O252" s="86"/>
      <c r="P252" s="86"/>
      <c r="Q252" s="86"/>
      <c r="R252" s="435"/>
      <c r="S252" s="52"/>
      <c r="T252" s="52"/>
      <c r="V252" s="52">
        <f t="shared" si="62"/>
        <v>0</v>
      </c>
      <c r="AI252" s="52"/>
    </row>
    <row r="253" spans="1:35" ht="24">
      <c r="A253" s="80"/>
      <c r="B253" s="80"/>
      <c r="C253" s="80" t="s">
        <v>84</v>
      </c>
      <c r="D253" s="154"/>
      <c r="E253" s="83"/>
      <c r="F253" s="142"/>
      <c r="G253" s="156" t="s">
        <v>758</v>
      </c>
      <c r="H253" s="399"/>
      <c r="I253" s="399"/>
      <c r="J253" s="399"/>
      <c r="K253" s="421"/>
      <c r="L253" s="421"/>
      <c r="M253" s="86"/>
      <c r="N253" s="86"/>
      <c r="O253" s="86"/>
      <c r="P253" s="86"/>
      <c r="Q253" s="86"/>
      <c r="R253" s="435"/>
      <c r="S253" s="52"/>
      <c r="T253" s="52"/>
      <c r="V253" s="52">
        <f t="shared" si="62"/>
        <v>0</v>
      </c>
      <c r="AI253" s="52"/>
    </row>
    <row r="254" spans="1:35" ht="12">
      <c r="A254" s="80"/>
      <c r="B254" s="80"/>
      <c r="C254" s="80"/>
      <c r="D254" s="155">
        <v>900</v>
      </c>
      <c r="E254" s="83"/>
      <c r="F254" s="142"/>
      <c r="G254" s="156" t="s">
        <v>591</v>
      </c>
      <c r="H254" s="399"/>
      <c r="I254" s="399"/>
      <c r="J254" s="399"/>
      <c r="K254" s="421"/>
      <c r="L254" s="421"/>
      <c r="M254" s="86"/>
      <c r="N254" s="86"/>
      <c r="O254" s="86"/>
      <c r="P254" s="86"/>
      <c r="Q254" s="86"/>
      <c r="R254" s="435"/>
      <c r="S254" s="52"/>
      <c r="T254" s="52"/>
      <c r="V254" s="52">
        <f t="shared" si="62"/>
        <v>0</v>
      </c>
      <c r="AI254" s="52"/>
    </row>
    <row r="255" spans="1:35" ht="12">
      <c r="A255" s="80">
        <f>+A251+1</f>
        <v>69</v>
      </c>
      <c r="B255" s="80"/>
      <c r="C255" s="80"/>
      <c r="D255" s="80"/>
      <c r="E255" s="85">
        <v>47271</v>
      </c>
      <c r="F255" s="112"/>
      <c r="G255" s="83" t="s">
        <v>619</v>
      </c>
      <c r="H255" s="399">
        <f>100000+900000+S255</f>
        <v>1043025</v>
      </c>
      <c r="I255" s="399"/>
      <c r="J255" s="399"/>
      <c r="K255" s="421"/>
      <c r="L255" s="421">
        <f>+H255+I255+J255</f>
        <v>1043025</v>
      </c>
      <c r="M255" s="86">
        <v>773025</v>
      </c>
      <c r="N255" s="86"/>
      <c r="O255" s="86"/>
      <c r="P255" s="86"/>
      <c r="Q255" s="86">
        <v>232500</v>
      </c>
      <c r="R255" s="435">
        <f>+M255/H255*100</f>
        <v>74.11375566261594</v>
      </c>
      <c r="S255" s="52">
        <v>43025</v>
      </c>
      <c r="T255" s="52"/>
      <c r="V255" s="52">
        <f t="shared" si="62"/>
        <v>37500</v>
      </c>
      <c r="AI255" s="52"/>
    </row>
    <row r="256" spans="1:35" ht="12">
      <c r="A256" s="80"/>
      <c r="B256" s="80"/>
      <c r="C256" s="80"/>
      <c r="D256" s="88"/>
      <c r="E256" s="85"/>
      <c r="F256" s="112"/>
      <c r="G256" s="83"/>
      <c r="H256" s="399"/>
      <c r="I256" s="399"/>
      <c r="J256" s="399"/>
      <c r="K256" s="421"/>
      <c r="L256" s="421"/>
      <c r="M256" s="86"/>
      <c r="N256" s="86"/>
      <c r="O256" s="86"/>
      <c r="P256" s="86"/>
      <c r="Q256" s="86"/>
      <c r="R256" s="435"/>
      <c r="S256" s="52"/>
      <c r="T256" s="52"/>
      <c r="V256" s="52">
        <f t="shared" si="62"/>
        <v>0</v>
      </c>
      <c r="AI256" s="52"/>
    </row>
    <row r="257" spans="1:35" ht="12">
      <c r="A257" s="80"/>
      <c r="B257" s="80"/>
      <c r="C257" s="80" t="s">
        <v>99</v>
      </c>
      <c r="D257" s="140"/>
      <c r="E257" s="85"/>
      <c r="F257" s="112"/>
      <c r="G257" s="94" t="s">
        <v>695</v>
      </c>
      <c r="H257" s="399"/>
      <c r="I257" s="399"/>
      <c r="J257" s="399"/>
      <c r="K257" s="421"/>
      <c r="L257" s="421"/>
      <c r="M257" s="86"/>
      <c r="N257" s="86"/>
      <c r="O257" s="86"/>
      <c r="P257" s="86"/>
      <c r="Q257" s="86"/>
      <c r="R257" s="435"/>
      <c r="S257" s="52"/>
      <c r="T257" s="52"/>
      <c r="V257" s="52">
        <f t="shared" si="62"/>
        <v>0</v>
      </c>
      <c r="AI257" s="52"/>
    </row>
    <row r="258" spans="1:35" ht="12">
      <c r="A258" s="80"/>
      <c r="B258" s="80"/>
      <c r="C258" s="80"/>
      <c r="D258" s="139" t="s">
        <v>78</v>
      </c>
      <c r="E258" s="85"/>
      <c r="F258" s="112"/>
      <c r="G258" s="94" t="s">
        <v>596</v>
      </c>
      <c r="H258" s="399"/>
      <c r="I258" s="399"/>
      <c r="J258" s="399"/>
      <c r="K258" s="421"/>
      <c r="L258" s="421"/>
      <c r="M258" s="86"/>
      <c r="N258" s="86"/>
      <c r="O258" s="86"/>
      <c r="P258" s="86"/>
      <c r="Q258" s="86"/>
      <c r="R258" s="435"/>
      <c r="S258" s="52"/>
      <c r="T258" s="52"/>
      <c r="V258" s="52">
        <f t="shared" si="62"/>
        <v>0</v>
      </c>
      <c r="AI258" s="52"/>
    </row>
    <row r="259" spans="1:35" s="71" customFormat="1" ht="12">
      <c r="A259" s="80">
        <f>+A255+1</f>
        <v>70</v>
      </c>
      <c r="B259" s="80"/>
      <c r="C259" s="80"/>
      <c r="D259" s="88"/>
      <c r="E259" s="85">
        <v>472</v>
      </c>
      <c r="F259" s="112"/>
      <c r="G259" s="83" t="s">
        <v>779</v>
      </c>
      <c r="H259" s="399">
        <v>0</v>
      </c>
      <c r="I259" s="399"/>
      <c r="J259" s="399"/>
      <c r="K259" s="421"/>
      <c r="L259" s="421">
        <f>+H259+I259+J259</f>
        <v>0</v>
      </c>
      <c r="M259" s="86">
        <v>0</v>
      </c>
      <c r="N259" s="86"/>
      <c r="O259" s="86"/>
      <c r="P259" s="86"/>
      <c r="Q259" s="86">
        <v>0</v>
      </c>
      <c r="R259" s="435">
        <v>0</v>
      </c>
      <c r="S259" s="62"/>
      <c r="T259" s="62"/>
      <c r="V259" s="52">
        <f t="shared" si="62"/>
        <v>0</v>
      </c>
      <c r="AI259" s="52"/>
    </row>
    <row r="260" spans="1:35" ht="12">
      <c r="A260" s="80"/>
      <c r="B260" s="80"/>
      <c r="C260" s="80"/>
      <c r="D260" s="80"/>
      <c r="E260" s="85"/>
      <c r="F260" s="112"/>
      <c r="G260" s="83"/>
      <c r="H260" s="399"/>
      <c r="I260" s="420"/>
      <c r="J260" s="420"/>
      <c r="K260" s="460"/>
      <c r="L260" s="386"/>
      <c r="M260" s="86"/>
      <c r="N260" s="86"/>
      <c r="O260" s="86"/>
      <c r="P260" s="86"/>
      <c r="Q260" s="86"/>
      <c r="R260" s="435"/>
      <c r="S260" s="52"/>
      <c r="T260" s="52"/>
      <c r="V260" s="52">
        <f t="shared" si="62"/>
        <v>0</v>
      </c>
      <c r="AI260" s="52"/>
    </row>
    <row r="261" spans="1:35" ht="12">
      <c r="A261" s="80"/>
      <c r="B261" s="80"/>
      <c r="C261" s="80" t="s">
        <v>354</v>
      </c>
      <c r="D261" s="89"/>
      <c r="E261" s="85"/>
      <c r="F261" s="112"/>
      <c r="G261" s="82" t="s">
        <v>782</v>
      </c>
      <c r="H261" s="399"/>
      <c r="I261" s="399"/>
      <c r="J261" s="399"/>
      <c r="K261" s="421"/>
      <c r="L261" s="421"/>
      <c r="M261" s="86"/>
      <c r="N261" s="86"/>
      <c r="O261" s="86"/>
      <c r="P261" s="86"/>
      <c r="Q261" s="86"/>
      <c r="R261" s="435"/>
      <c r="S261" s="52"/>
      <c r="T261" s="52"/>
      <c r="V261" s="52">
        <f t="shared" si="62"/>
        <v>0</v>
      </c>
      <c r="AI261" s="52"/>
    </row>
    <row r="262" spans="1:35" ht="12">
      <c r="A262" s="80"/>
      <c r="B262" s="80"/>
      <c r="D262" s="89">
        <v>474</v>
      </c>
      <c r="E262" s="85"/>
      <c r="F262" s="112"/>
      <c r="G262" s="82" t="s">
        <v>783</v>
      </c>
      <c r="H262" s="399"/>
      <c r="I262" s="399"/>
      <c r="J262" s="399"/>
      <c r="K262" s="421"/>
      <c r="L262" s="421"/>
      <c r="M262" s="86"/>
      <c r="N262" s="86"/>
      <c r="O262" s="86"/>
      <c r="P262" s="86"/>
      <c r="Q262" s="86"/>
      <c r="R262" s="435"/>
      <c r="S262" s="52"/>
      <c r="T262" s="52"/>
      <c r="V262" s="52">
        <f t="shared" si="62"/>
        <v>0</v>
      </c>
      <c r="AI262" s="52"/>
    </row>
    <row r="263" spans="1:35" ht="12">
      <c r="A263" s="80">
        <f>+A259+1</f>
        <v>71</v>
      </c>
      <c r="B263" s="80"/>
      <c r="C263" s="80"/>
      <c r="D263" s="88"/>
      <c r="E263" s="85">
        <v>423</v>
      </c>
      <c r="F263" s="112"/>
      <c r="G263" s="83" t="s">
        <v>557</v>
      </c>
      <c r="H263" s="399">
        <f>12250000+S263+T263</f>
        <v>13099000</v>
      </c>
      <c r="I263" s="399"/>
      <c r="J263" s="399">
        <v>1000000</v>
      </c>
      <c r="K263" s="421"/>
      <c r="L263" s="421">
        <f>+H263+I263+J263</f>
        <v>14099000</v>
      </c>
      <c r="M263" s="86">
        <v>12086552.2</v>
      </c>
      <c r="N263" s="86"/>
      <c r="O263" s="86">
        <v>1000000</v>
      </c>
      <c r="P263" s="86"/>
      <c r="Q263" s="536"/>
      <c r="R263" s="435">
        <f>+M263/H263*100</f>
        <v>92.27080082449042</v>
      </c>
      <c r="S263" s="52">
        <f>3000000-3000000+99000</f>
        <v>99000</v>
      </c>
      <c r="T263" s="52">
        <v>750000</v>
      </c>
      <c r="V263" s="52">
        <f t="shared" si="62"/>
        <v>1012447.8000000007</v>
      </c>
      <c r="AI263" s="52"/>
    </row>
    <row r="264" spans="1:35" ht="12">
      <c r="A264" s="80"/>
      <c r="B264" s="80"/>
      <c r="C264" s="80"/>
      <c r="D264" s="80"/>
      <c r="E264" s="85"/>
      <c r="F264" s="112"/>
      <c r="G264" s="83"/>
      <c r="H264" s="399"/>
      <c r="I264" s="399"/>
      <c r="J264" s="399"/>
      <c r="K264" s="421"/>
      <c r="L264" s="386"/>
      <c r="M264" s="86"/>
      <c r="N264" s="86"/>
      <c r="O264" s="86"/>
      <c r="P264" s="86"/>
      <c r="Q264" s="86"/>
      <c r="R264" s="435"/>
      <c r="S264" s="52"/>
      <c r="T264" s="52"/>
      <c r="V264" s="52">
        <f t="shared" si="62"/>
        <v>0</v>
      </c>
      <c r="AI264" s="52"/>
    </row>
    <row r="265" spans="1:35" ht="12">
      <c r="A265" s="80"/>
      <c r="B265" s="80"/>
      <c r="C265" s="80" t="s">
        <v>100</v>
      </c>
      <c r="D265" s="89"/>
      <c r="E265" s="83"/>
      <c r="F265" s="142"/>
      <c r="G265" s="82" t="s">
        <v>656</v>
      </c>
      <c r="H265" s="399"/>
      <c r="I265" s="399"/>
      <c r="J265" s="399"/>
      <c r="K265" s="421"/>
      <c r="L265" s="386"/>
      <c r="M265" s="86"/>
      <c r="N265" s="86"/>
      <c r="O265" s="86"/>
      <c r="P265" s="86"/>
      <c r="Q265" s="86"/>
      <c r="R265" s="435"/>
      <c r="S265" s="52"/>
      <c r="T265" s="52"/>
      <c r="V265" s="52">
        <f t="shared" si="62"/>
        <v>0</v>
      </c>
      <c r="AI265" s="52"/>
    </row>
    <row r="266" spans="1:35" ht="12">
      <c r="A266" s="80"/>
      <c r="B266" s="80"/>
      <c r="C266" s="80"/>
      <c r="D266" s="89">
        <v>830</v>
      </c>
      <c r="E266" s="83"/>
      <c r="F266" s="142"/>
      <c r="G266" s="82" t="s">
        <v>784</v>
      </c>
      <c r="H266" s="399"/>
      <c r="I266" s="399"/>
      <c r="J266" s="399"/>
      <c r="K266" s="421"/>
      <c r="L266" s="386"/>
      <c r="M266" s="86"/>
      <c r="N266" s="86"/>
      <c r="O266" s="86"/>
      <c r="P266" s="86"/>
      <c r="Q266" s="86"/>
      <c r="R266" s="435"/>
      <c r="S266" s="52"/>
      <c r="T266" s="52"/>
      <c r="V266" s="52">
        <f t="shared" si="62"/>
        <v>0</v>
      </c>
      <c r="AI266" s="52"/>
    </row>
    <row r="267" spans="1:35" ht="12">
      <c r="A267" s="80">
        <f>+A263+1</f>
        <v>72</v>
      </c>
      <c r="B267" s="80"/>
      <c r="C267" s="80"/>
      <c r="D267" s="88"/>
      <c r="E267" s="85">
        <v>423</v>
      </c>
      <c r="F267" s="112"/>
      <c r="G267" s="83" t="s">
        <v>539</v>
      </c>
      <c r="H267" s="86">
        <v>500000</v>
      </c>
      <c r="I267" s="399"/>
      <c r="J267" s="399"/>
      <c r="K267" s="421"/>
      <c r="L267" s="386">
        <f>H267+I267+J267</f>
        <v>500000</v>
      </c>
      <c r="M267" s="86">
        <v>500000</v>
      </c>
      <c r="N267" s="86"/>
      <c r="O267" s="86"/>
      <c r="P267" s="86"/>
      <c r="Q267" s="86"/>
      <c r="R267" s="435">
        <f>+M267/H267*100</f>
        <v>100</v>
      </c>
      <c r="S267" s="52"/>
      <c r="T267" s="52"/>
      <c r="V267" s="52">
        <f t="shared" si="62"/>
        <v>0</v>
      </c>
      <c r="AI267" s="52"/>
    </row>
    <row r="268" spans="1:35" ht="12">
      <c r="A268" s="24"/>
      <c r="B268" s="24"/>
      <c r="C268" s="24"/>
      <c r="D268" s="13"/>
      <c r="E268" s="38"/>
      <c r="F268" s="114"/>
      <c r="G268" s="34"/>
      <c r="H268" s="414"/>
      <c r="I268" s="414"/>
      <c r="J268" s="414"/>
      <c r="K268" s="416"/>
      <c r="L268" s="387"/>
      <c r="M268" s="86"/>
      <c r="N268" s="86"/>
      <c r="O268" s="86"/>
      <c r="P268" s="86"/>
      <c r="Q268" s="86"/>
      <c r="R268" s="435"/>
      <c r="S268" s="52"/>
      <c r="T268" s="52"/>
      <c r="V268" s="52">
        <f t="shared" si="62"/>
        <v>0</v>
      </c>
      <c r="AI268" s="52"/>
    </row>
    <row r="269" spans="1:35" ht="12">
      <c r="A269" s="81"/>
      <c r="B269" s="81"/>
      <c r="C269" s="84" t="s">
        <v>101</v>
      </c>
      <c r="D269" s="81"/>
      <c r="E269" s="81"/>
      <c r="F269" s="111"/>
      <c r="G269" s="92" t="s">
        <v>759</v>
      </c>
      <c r="H269" s="81"/>
      <c r="I269" s="81"/>
      <c r="J269" s="388"/>
      <c r="K269" s="461"/>
      <c r="L269" s="424"/>
      <c r="M269" s="86"/>
      <c r="N269" s="86"/>
      <c r="O269" s="86"/>
      <c r="P269" s="86"/>
      <c r="Q269" s="86"/>
      <c r="R269" s="435"/>
      <c r="S269" s="52"/>
      <c r="T269" s="52"/>
      <c r="V269" s="52">
        <f t="shared" si="62"/>
        <v>0</v>
      </c>
      <c r="AI269" s="52"/>
    </row>
    <row r="270" spans="1:35" ht="12">
      <c r="A270" s="81"/>
      <c r="B270" s="81"/>
      <c r="C270" s="84"/>
      <c r="D270" s="89">
        <v>640</v>
      </c>
      <c r="E270" s="81"/>
      <c r="F270" s="111"/>
      <c r="G270" s="92" t="s">
        <v>759</v>
      </c>
      <c r="H270" s="81"/>
      <c r="I270" s="81"/>
      <c r="J270" s="388"/>
      <c r="K270" s="461"/>
      <c r="L270" s="424"/>
      <c r="M270" s="86"/>
      <c r="N270" s="86"/>
      <c r="O270" s="86"/>
      <c r="P270" s="86"/>
      <c r="Q270" s="86"/>
      <c r="R270" s="435"/>
      <c r="S270" s="52"/>
      <c r="T270" s="52"/>
      <c r="V270" s="52">
        <f t="shared" si="62"/>
        <v>0</v>
      </c>
      <c r="AI270" s="52"/>
    </row>
    <row r="271" spans="1:35" ht="12">
      <c r="A271" s="80">
        <f>+A267+1</f>
        <v>73</v>
      </c>
      <c r="B271" s="80"/>
      <c r="C271" s="80"/>
      <c r="D271" s="89"/>
      <c r="E271" s="85">
        <v>4212</v>
      </c>
      <c r="F271" s="112"/>
      <c r="G271" s="83" t="s">
        <v>538</v>
      </c>
      <c r="H271" s="399">
        <v>28000000</v>
      </c>
      <c r="I271" s="399"/>
      <c r="J271" s="399">
        <v>4754428</v>
      </c>
      <c r="K271" s="421"/>
      <c r="L271" s="421">
        <f>H271+I271+J271</f>
        <v>32754428</v>
      </c>
      <c r="M271" s="86">
        <v>21166310.66</v>
      </c>
      <c r="N271" s="86"/>
      <c r="O271" s="86">
        <v>4754428</v>
      </c>
      <c r="P271" s="86"/>
      <c r="Q271" s="86">
        <v>9641033.68</v>
      </c>
      <c r="R271" s="435">
        <f>+M271/H271*100</f>
        <v>75.59396664285714</v>
      </c>
      <c r="S271" s="52"/>
      <c r="T271" s="52"/>
      <c r="V271" s="52">
        <f>+H271-(M271+Q271)</f>
        <v>-2807344.34</v>
      </c>
      <c r="AI271" s="52"/>
    </row>
    <row r="272" spans="1:35" s="71" customFormat="1" ht="12">
      <c r="A272" s="33"/>
      <c r="B272" s="33"/>
      <c r="C272" s="33"/>
      <c r="D272" s="2"/>
      <c r="E272" s="20"/>
      <c r="F272" s="115"/>
      <c r="G272" s="9"/>
      <c r="H272" s="10"/>
      <c r="I272" s="10"/>
      <c r="J272" s="10"/>
      <c r="K272" s="10"/>
      <c r="L272" s="62"/>
      <c r="M272" s="86"/>
      <c r="N272" s="86"/>
      <c r="O272" s="86"/>
      <c r="P272" s="86"/>
      <c r="Q272" s="86"/>
      <c r="R272" s="435"/>
      <c r="S272" s="62"/>
      <c r="T272" s="62"/>
      <c r="V272" s="52">
        <f t="shared" si="62"/>
        <v>0</v>
      </c>
      <c r="AI272" s="52"/>
    </row>
    <row r="273" spans="1:35" s="71" customFormat="1" ht="12">
      <c r="A273" s="81"/>
      <c r="B273" s="81"/>
      <c r="C273" s="84" t="s">
        <v>102</v>
      </c>
      <c r="D273" s="81"/>
      <c r="E273" s="81"/>
      <c r="F273" s="111"/>
      <c r="G273" s="92" t="s">
        <v>696</v>
      </c>
      <c r="H273" s="81"/>
      <c r="I273" s="81"/>
      <c r="J273" s="388"/>
      <c r="K273" s="461"/>
      <c r="L273" s="424"/>
      <c r="M273" s="86"/>
      <c r="N273" s="86"/>
      <c r="O273" s="86"/>
      <c r="P273" s="86"/>
      <c r="Q273" s="86"/>
      <c r="R273" s="435"/>
      <c r="S273" s="62"/>
      <c r="T273" s="62"/>
      <c r="V273" s="52">
        <f t="shared" si="62"/>
        <v>0</v>
      </c>
      <c r="AI273" s="52"/>
    </row>
    <row r="274" spans="1:35" s="71" customFormat="1" ht="12">
      <c r="A274" s="81"/>
      <c r="B274" s="81"/>
      <c r="C274" s="81"/>
      <c r="D274" s="89">
        <v>620</v>
      </c>
      <c r="E274" s="81"/>
      <c r="F274" s="153"/>
      <c r="G274" s="82" t="s">
        <v>697</v>
      </c>
      <c r="H274" s="81"/>
      <c r="I274" s="81"/>
      <c r="J274" s="388"/>
      <c r="K274" s="461"/>
      <c r="L274" s="424"/>
      <c r="M274" s="86"/>
      <c r="N274" s="86"/>
      <c r="O274" s="86"/>
      <c r="P274" s="86"/>
      <c r="Q274" s="86"/>
      <c r="R274" s="435"/>
      <c r="S274" s="62"/>
      <c r="T274" s="62"/>
      <c r="V274" s="52">
        <f t="shared" si="62"/>
        <v>0</v>
      </c>
      <c r="AI274" s="52"/>
    </row>
    <row r="275" spans="1:35" s="71" customFormat="1" ht="12">
      <c r="A275" s="80">
        <f>+A271+1</f>
        <v>74</v>
      </c>
      <c r="B275" s="80"/>
      <c r="C275" s="80"/>
      <c r="D275" s="80"/>
      <c r="E275" s="85">
        <v>420</v>
      </c>
      <c r="F275" s="112"/>
      <c r="G275" s="83" t="s">
        <v>766</v>
      </c>
      <c r="H275" s="399">
        <f>2500000+2000000</f>
        <v>4500000</v>
      </c>
      <c r="I275" s="399"/>
      <c r="J275" s="399"/>
      <c r="K275" s="421"/>
      <c r="L275" s="421">
        <f>H275+I275+J275</f>
        <v>4500000</v>
      </c>
      <c r="M275" s="86">
        <v>2763997.12</v>
      </c>
      <c r="N275" s="86"/>
      <c r="O275" s="86"/>
      <c r="P275" s="86"/>
      <c r="Q275" s="86">
        <v>619290.54</v>
      </c>
      <c r="R275" s="435">
        <f>+M275/H275*100</f>
        <v>61.42215822222222</v>
      </c>
      <c r="S275" s="62"/>
      <c r="T275" s="62"/>
      <c r="V275" s="52">
        <f t="shared" si="62"/>
        <v>1116712.3399999999</v>
      </c>
      <c r="AI275" s="52"/>
    </row>
    <row r="276" spans="1:35" s="71" customFormat="1" ht="12">
      <c r="A276" s="33"/>
      <c r="B276" s="33"/>
      <c r="C276" s="33"/>
      <c r="D276" s="33"/>
      <c r="E276" s="20"/>
      <c r="F276" s="115"/>
      <c r="G276" s="9"/>
      <c r="H276" s="10"/>
      <c r="I276" s="10"/>
      <c r="J276" s="10"/>
      <c r="K276" s="10"/>
      <c r="L276" s="10"/>
      <c r="M276" s="62"/>
      <c r="N276" s="62"/>
      <c r="O276" s="62"/>
      <c r="P276" s="62"/>
      <c r="Q276" s="62"/>
      <c r="R276" s="435"/>
      <c r="S276" s="62"/>
      <c r="T276" s="62"/>
      <c r="V276" s="52">
        <f t="shared" si="62"/>
        <v>0</v>
      </c>
      <c r="AI276" s="52"/>
    </row>
    <row r="277" spans="1:35" s="71" customFormat="1" ht="12">
      <c r="A277" s="80"/>
      <c r="B277" s="80"/>
      <c r="C277" s="80" t="s">
        <v>370</v>
      </c>
      <c r="D277" s="80"/>
      <c r="E277" s="85"/>
      <c r="F277" s="112"/>
      <c r="G277" s="94" t="s">
        <v>620</v>
      </c>
      <c r="H277" s="399"/>
      <c r="I277" s="399"/>
      <c r="J277" s="399"/>
      <c r="K277" s="399"/>
      <c r="L277" s="399"/>
      <c r="M277" s="86"/>
      <c r="N277" s="86"/>
      <c r="O277" s="86"/>
      <c r="P277" s="86"/>
      <c r="Q277" s="86"/>
      <c r="R277" s="435"/>
      <c r="S277" s="62"/>
      <c r="T277" s="62"/>
      <c r="V277" s="52">
        <f t="shared" si="62"/>
        <v>0</v>
      </c>
      <c r="AI277" s="52"/>
    </row>
    <row r="278" spans="1:35" s="71" customFormat="1" ht="12">
      <c r="A278" s="80"/>
      <c r="B278" s="80"/>
      <c r="C278" s="80"/>
      <c r="D278" s="80">
        <v>760</v>
      </c>
      <c r="E278" s="85"/>
      <c r="F278" s="112"/>
      <c r="G278" s="94" t="s">
        <v>657</v>
      </c>
      <c r="H278" s="399"/>
      <c r="I278" s="399"/>
      <c r="J278" s="399"/>
      <c r="K278" s="399"/>
      <c r="L278" s="399"/>
      <c r="M278" s="86"/>
      <c r="N278" s="86"/>
      <c r="O278" s="86"/>
      <c r="P278" s="86"/>
      <c r="Q278" s="86"/>
      <c r="R278" s="435"/>
      <c r="S278" s="62"/>
      <c r="T278" s="62"/>
      <c r="V278" s="52">
        <f t="shared" si="62"/>
        <v>0</v>
      </c>
      <c r="AI278" s="52"/>
    </row>
    <row r="279" spans="1:35" s="71" customFormat="1" ht="12">
      <c r="A279" s="80" t="s">
        <v>371</v>
      </c>
      <c r="B279" s="80"/>
      <c r="C279" s="80"/>
      <c r="D279" s="80"/>
      <c r="E279" s="85">
        <v>472</v>
      </c>
      <c r="F279" s="112"/>
      <c r="G279" s="83" t="s">
        <v>779</v>
      </c>
      <c r="H279" s="399">
        <v>300000</v>
      </c>
      <c r="I279" s="399"/>
      <c r="J279" s="399"/>
      <c r="K279" s="399"/>
      <c r="L279" s="399">
        <f>+H279+I279+J279</f>
        <v>300000</v>
      </c>
      <c r="M279" s="86">
        <v>90819</v>
      </c>
      <c r="N279" s="86"/>
      <c r="O279" s="86"/>
      <c r="P279" s="86"/>
      <c r="Q279" s="86"/>
      <c r="R279" s="435">
        <f>+M279/H279*100</f>
        <v>30.273</v>
      </c>
      <c r="S279" s="62"/>
      <c r="T279" s="62"/>
      <c r="V279" s="52">
        <f t="shared" si="62"/>
        <v>209181</v>
      </c>
      <c r="AI279" s="52"/>
    </row>
    <row r="280" spans="1:35" s="71" customFormat="1" ht="12">
      <c r="A280" s="33"/>
      <c r="B280" s="33"/>
      <c r="C280" s="33"/>
      <c r="D280" s="33"/>
      <c r="E280" s="20"/>
      <c r="F280" s="115"/>
      <c r="G280" s="9"/>
      <c r="H280" s="10"/>
      <c r="I280" s="10"/>
      <c r="J280" s="10"/>
      <c r="K280" s="10"/>
      <c r="L280" s="10"/>
      <c r="M280" s="62"/>
      <c r="N280" s="62"/>
      <c r="O280" s="62"/>
      <c r="P280" s="62"/>
      <c r="Q280" s="62"/>
      <c r="R280" s="443"/>
      <c r="S280" s="62"/>
      <c r="T280" s="62"/>
      <c r="V280" s="52">
        <f t="shared" si="62"/>
        <v>0</v>
      </c>
      <c r="AI280" s="52"/>
    </row>
    <row r="281" spans="1:35" s="71" customFormat="1" ht="12">
      <c r="A281" s="80"/>
      <c r="B281" s="80"/>
      <c r="C281" s="80" t="s">
        <v>372</v>
      </c>
      <c r="D281" s="80"/>
      <c r="E281" s="85"/>
      <c r="F281" s="112"/>
      <c r="G281" s="94" t="s">
        <v>698</v>
      </c>
      <c r="H281" s="399"/>
      <c r="I281" s="399"/>
      <c r="J281" s="399"/>
      <c r="K281" s="399"/>
      <c r="L281" s="399"/>
      <c r="M281" s="86"/>
      <c r="N281" s="86"/>
      <c r="O281" s="86"/>
      <c r="P281" s="86"/>
      <c r="Q281" s="86"/>
      <c r="R281" s="435"/>
      <c r="S281" s="62"/>
      <c r="T281" s="62"/>
      <c r="V281" s="52">
        <f aca="true" t="shared" si="63" ref="V281:V344">+H281-(M281+Q281)</f>
        <v>0</v>
      </c>
      <c r="AI281" s="52"/>
    </row>
    <row r="282" spans="1:35" s="71" customFormat="1" ht="12">
      <c r="A282" s="80"/>
      <c r="B282" s="80"/>
      <c r="C282" s="80"/>
      <c r="D282" s="80">
        <v>900</v>
      </c>
      <c r="E282" s="85"/>
      <c r="F282" s="112"/>
      <c r="G282" s="94" t="s">
        <v>658</v>
      </c>
      <c r="H282" s="399"/>
      <c r="I282" s="399"/>
      <c r="J282" s="399"/>
      <c r="K282" s="399"/>
      <c r="L282" s="399"/>
      <c r="M282" s="86"/>
      <c r="N282" s="86"/>
      <c r="O282" s="86"/>
      <c r="P282" s="86"/>
      <c r="Q282" s="86"/>
      <c r="R282" s="435"/>
      <c r="S282" s="62"/>
      <c r="T282" s="62"/>
      <c r="V282" s="52">
        <f t="shared" si="63"/>
        <v>0</v>
      </c>
      <c r="AI282" s="52"/>
    </row>
    <row r="283" spans="1:35" s="71" customFormat="1" ht="12">
      <c r="A283" s="80" t="s">
        <v>373</v>
      </c>
      <c r="B283" s="80"/>
      <c r="C283" s="80"/>
      <c r="D283" s="80"/>
      <c r="E283" s="85">
        <v>463</v>
      </c>
      <c r="F283" s="112"/>
      <c r="G283" s="83" t="s">
        <v>557</v>
      </c>
      <c r="H283" s="399">
        <v>0</v>
      </c>
      <c r="I283" s="399"/>
      <c r="J283" s="399"/>
      <c r="K283" s="399"/>
      <c r="L283" s="399">
        <f>+H283+I283+J283</f>
        <v>0</v>
      </c>
      <c r="M283" s="86">
        <v>0</v>
      </c>
      <c r="N283" s="86"/>
      <c r="O283" s="86"/>
      <c r="P283" s="86"/>
      <c r="Q283" s="86"/>
      <c r="R283" s="435">
        <v>0</v>
      </c>
      <c r="S283" s="62"/>
      <c r="T283" s="62"/>
      <c r="V283" s="52">
        <f t="shared" si="63"/>
        <v>0</v>
      </c>
      <c r="AI283" s="52"/>
    </row>
    <row r="284" spans="1:35" s="71" customFormat="1" ht="12">
      <c r="A284" s="33"/>
      <c r="B284" s="33"/>
      <c r="C284" s="33"/>
      <c r="D284" s="33"/>
      <c r="E284" s="20"/>
      <c r="F284" s="115"/>
      <c r="G284" s="9"/>
      <c r="H284" s="10"/>
      <c r="I284" s="10"/>
      <c r="J284" s="10"/>
      <c r="K284" s="10"/>
      <c r="L284" s="10"/>
      <c r="M284" s="62"/>
      <c r="N284" s="62"/>
      <c r="O284" s="62"/>
      <c r="P284" s="62"/>
      <c r="Q284" s="62"/>
      <c r="R284" s="443"/>
      <c r="S284" s="62"/>
      <c r="T284" s="62"/>
      <c r="V284" s="52">
        <f t="shared" si="63"/>
        <v>0</v>
      </c>
      <c r="AI284" s="52"/>
    </row>
    <row r="285" spans="1:35" s="71" customFormat="1" ht="36">
      <c r="A285" s="80"/>
      <c r="B285" s="80"/>
      <c r="C285" s="80" t="s">
        <v>374</v>
      </c>
      <c r="D285" s="80"/>
      <c r="E285" s="85"/>
      <c r="F285" s="112"/>
      <c r="G285" s="449" t="s">
        <v>699</v>
      </c>
      <c r="H285" s="399"/>
      <c r="I285" s="399"/>
      <c r="J285" s="399"/>
      <c r="K285" s="399"/>
      <c r="L285" s="399"/>
      <c r="M285" s="86"/>
      <c r="N285" s="86"/>
      <c r="O285" s="86"/>
      <c r="P285" s="86"/>
      <c r="Q285" s="86"/>
      <c r="R285" s="435"/>
      <c r="S285" s="62"/>
      <c r="T285" s="62"/>
      <c r="V285" s="52">
        <f t="shared" si="63"/>
        <v>0</v>
      </c>
      <c r="AI285" s="52"/>
    </row>
    <row r="286" spans="1:35" s="71" customFormat="1" ht="12">
      <c r="A286" s="80"/>
      <c r="B286" s="80"/>
      <c r="C286" s="80"/>
      <c r="D286" s="80">
        <v>820</v>
      </c>
      <c r="E286" s="85"/>
      <c r="F286" s="112"/>
      <c r="G286" s="94" t="s">
        <v>621</v>
      </c>
      <c r="H286" s="399"/>
      <c r="I286" s="399"/>
      <c r="J286" s="399"/>
      <c r="K286" s="399"/>
      <c r="L286" s="399"/>
      <c r="M286" s="86"/>
      <c r="N286" s="86"/>
      <c r="O286" s="86"/>
      <c r="P286" s="86"/>
      <c r="Q286" s="86"/>
      <c r="R286" s="435"/>
      <c r="S286" s="62"/>
      <c r="T286" s="62"/>
      <c r="V286" s="52">
        <f t="shared" si="63"/>
        <v>0</v>
      </c>
      <c r="AI286" s="52"/>
    </row>
    <row r="287" spans="1:35" s="71" customFormat="1" ht="12">
      <c r="A287" s="80" t="s">
        <v>375</v>
      </c>
      <c r="B287" s="80"/>
      <c r="C287" s="80"/>
      <c r="D287" s="80"/>
      <c r="E287" s="85">
        <v>4819</v>
      </c>
      <c r="F287" s="112"/>
      <c r="G287" s="83" t="s">
        <v>700</v>
      </c>
      <c r="H287" s="399">
        <v>300000</v>
      </c>
      <c r="I287" s="399"/>
      <c r="J287" s="399"/>
      <c r="K287" s="399"/>
      <c r="L287" s="399">
        <f>+H287+I287+J287</f>
        <v>300000</v>
      </c>
      <c r="M287" s="86">
        <v>97062.19</v>
      </c>
      <c r="N287" s="86"/>
      <c r="O287" s="86"/>
      <c r="P287" s="86"/>
      <c r="Q287" s="86"/>
      <c r="R287" s="435">
        <f>+M287/H287*100</f>
        <v>32.354063333333336</v>
      </c>
      <c r="S287" s="62"/>
      <c r="T287" s="62"/>
      <c r="V287" s="52">
        <f t="shared" si="63"/>
        <v>202937.81</v>
      </c>
      <c r="AI287" s="52"/>
    </row>
    <row r="288" spans="1:35" s="71" customFormat="1" ht="12">
      <c r="A288" s="33"/>
      <c r="B288" s="33"/>
      <c r="C288" s="33"/>
      <c r="D288" s="33"/>
      <c r="E288" s="20"/>
      <c r="F288" s="115"/>
      <c r="G288" s="9"/>
      <c r="H288" s="10"/>
      <c r="I288" s="10"/>
      <c r="J288" s="10"/>
      <c r="K288" s="10"/>
      <c r="L288" s="10"/>
      <c r="M288" s="62"/>
      <c r="N288" s="62"/>
      <c r="O288" s="62"/>
      <c r="P288" s="62"/>
      <c r="Q288" s="62"/>
      <c r="R288" s="437"/>
      <c r="S288" s="62"/>
      <c r="T288" s="62"/>
      <c r="V288" s="52">
        <f t="shared" si="63"/>
        <v>0</v>
      </c>
      <c r="AI288" s="52"/>
    </row>
    <row r="289" spans="1:35" ht="12">
      <c r="A289" s="164"/>
      <c r="B289" s="12"/>
      <c r="C289" s="12"/>
      <c r="D289" s="12"/>
      <c r="E289" s="3"/>
      <c r="F289" s="103"/>
      <c r="G289" s="3" t="s">
        <v>622</v>
      </c>
      <c r="H289" s="399">
        <f>SUM(H235:H288)</f>
        <v>80517502</v>
      </c>
      <c r="I289" s="399">
        <f aca="true" t="shared" si="64" ref="I289:P289">SUM(I235:I288)</f>
        <v>0</v>
      </c>
      <c r="J289" s="399">
        <f>SUM(J235:J288)</f>
        <v>7254428</v>
      </c>
      <c r="K289" s="399">
        <f t="shared" si="64"/>
        <v>0</v>
      </c>
      <c r="L289" s="399">
        <f t="shared" si="64"/>
        <v>87771930</v>
      </c>
      <c r="M289" s="130">
        <f t="shared" si="64"/>
        <v>59248087.059999995</v>
      </c>
      <c r="N289" s="130"/>
      <c r="O289" s="130">
        <f t="shared" si="64"/>
        <v>7254428</v>
      </c>
      <c r="P289" s="130">
        <f t="shared" si="64"/>
        <v>0</v>
      </c>
      <c r="Q289" s="130">
        <f>SUM(Q235:Q288)</f>
        <v>18576243.549999997</v>
      </c>
      <c r="R289" s="435">
        <f>+M289/H289*100</f>
        <v>73.58410977528835</v>
      </c>
      <c r="S289" s="52"/>
      <c r="T289" s="52"/>
      <c r="V289" s="52">
        <f t="shared" si="63"/>
        <v>2693171.3900000155</v>
      </c>
      <c r="AB289" s="52"/>
      <c r="AI289" s="52"/>
    </row>
    <row r="290" spans="1:35" s="71" customFormat="1" ht="12">
      <c r="A290" s="148"/>
      <c r="B290" s="13"/>
      <c r="C290" s="13"/>
      <c r="D290" s="13"/>
      <c r="E290" s="15"/>
      <c r="F290" s="105"/>
      <c r="G290" s="15"/>
      <c r="H290" s="415"/>
      <c r="I290" s="415"/>
      <c r="J290" s="415"/>
      <c r="K290" s="415"/>
      <c r="L290" s="415"/>
      <c r="M290" s="61"/>
      <c r="N290" s="61"/>
      <c r="O290" s="61"/>
      <c r="P290" s="61"/>
      <c r="Q290" s="61"/>
      <c r="R290" s="438"/>
      <c r="S290" s="62"/>
      <c r="T290" s="62"/>
      <c r="V290" s="52">
        <f t="shared" si="63"/>
        <v>0</v>
      </c>
      <c r="AB290" s="66"/>
      <c r="AC290" s="66"/>
      <c r="AD290" s="66"/>
      <c r="AI290" s="52"/>
    </row>
    <row r="291" spans="1:35" s="71" customFormat="1" ht="12">
      <c r="A291" s="149"/>
      <c r="B291" s="2"/>
      <c r="C291" s="2"/>
      <c r="D291" s="2"/>
      <c r="E291" s="5"/>
      <c r="F291" s="115"/>
      <c r="G291" s="1" t="s">
        <v>701</v>
      </c>
      <c r="H291" s="10"/>
      <c r="I291" s="10"/>
      <c r="J291" s="10"/>
      <c r="K291" s="10"/>
      <c r="L291" s="10"/>
      <c r="M291" s="62"/>
      <c r="N291" s="62"/>
      <c r="O291" s="62"/>
      <c r="P291" s="62"/>
      <c r="Q291" s="62"/>
      <c r="R291" s="439"/>
      <c r="S291" s="62"/>
      <c r="T291" s="62"/>
      <c r="V291" s="52">
        <f t="shared" si="63"/>
        <v>0</v>
      </c>
      <c r="AB291" s="66"/>
      <c r="AC291" s="52"/>
      <c r="AD291" s="52"/>
      <c r="AI291" s="52"/>
    </row>
    <row r="292" spans="1:35" s="71" customFormat="1" ht="12">
      <c r="A292" s="149"/>
      <c r="B292" s="2"/>
      <c r="C292" s="2"/>
      <c r="D292" s="2"/>
      <c r="E292" s="5"/>
      <c r="F292" s="17" t="s">
        <v>73</v>
      </c>
      <c r="G292" s="20" t="s">
        <v>674</v>
      </c>
      <c r="H292" s="10">
        <f>+H259</f>
        <v>0</v>
      </c>
      <c r="I292" s="10"/>
      <c r="J292" s="10"/>
      <c r="K292" s="10"/>
      <c r="M292" s="62">
        <f>+M259</f>
        <v>0</v>
      </c>
      <c r="N292" s="62"/>
      <c r="O292" s="62"/>
      <c r="P292" s="62"/>
      <c r="Q292" s="62"/>
      <c r="R292" s="439"/>
      <c r="S292" s="62"/>
      <c r="T292" s="62"/>
      <c r="V292" s="52">
        <f t="shared" si="63"/>
        <v>0</v>
      </c>
      <c r="AI292" s="52"/>
    </row>
    <row r="293" spans="1:35" s="71" customFormat="1" ht="12">
      <c r="A293" s="149"/>
      <c r="B293" s="2"/>
      <c r="C293" s="2"/>
      <c r="D293" s="2"/>
      <c r="E293" s="5"/>
      <c r="F293" s="17"/>
      <c r="G293" s="1" t="s">
        <v>702</v>
      </c>
      <c r="H293" s="10"/>
      <c r="I293" s="10"/>
      <c r="J293" s="10"/>
      <c r="K293" s="10"/>
      <c r="L293" s="62">
        <f>H292+I292+J292</f>
        <v>0</v>
      </c>
      <c r="M293" s="62"/>
      <c r="N293" s="62"/>
      <c r="O293" s="62"/>
      <c r="P293" s="62"/>
      <c r="Q293" s="62"/>
      <c r="R293" s="439"/>
      <c r="S293" s="62"/>
      <c r="T293" s="62"/>
      <c r="V293" s="52">
        <f t="shared" si="63"/>
        <v>0</v>
      </c>
      <c r="AI293" s="52"/>
    </row>
    <row r="294" spans="1:35" ht="12">
      <c r="A294" s="141"/>
      <c r="B294" s="33"/>
      <c r="C294" s="33"/>
      <c r="D294" s="33"/>
      <c r="E294" s="20"/>
      <c r="F294" s="115"/>
      <c r="G294" s="1" t="s">
        <v>703</v>
      </c>
      <c r="H294" s="10"/>
      <c r="I294" s="10"/>
      <c r="J294" s="10"/>
      <c r="K294" s="10"/>
      <c r="L294" s="62"/>
      <c r="M294" s="62"/>
      <c r="N294" s="62"/>
      <c r="O294" s="62"/>
      <c r="P294" s="62"/>
      <c r="Q294" s="62"/>
      <c r="R294" s="439"/>
      <c r="S294" s="52"/>
      <c r="T294" s="52"/>
      <c r="V294" s="52">
        <f t="shared" si="63"/>
        <v>0</v>
      </c>
      <c r="AI294" s="52"/>
    </row>
    <row r="295" spans="1:35" ht="12">
      <c r="A295" s="141"/>
      <c r="B295" s="33"/>
      <c r="C295" s="33"/>
      <c r="D295" s="33"/>
      <c r="E295" s="20"/>
      <c r="F295" s="17" t="s">
        <v>73</v>
      </c>
      <c r="G295" s="20" t="s">
        <v>674</v>
      </c>
      <c r="H295" s="10">
        <f>+H238+H242</f>
        <v>19025477</v>
      </c>
      <c r="I295" s="10"/>
      <c r="J295" s="10"/>
      <c r="K295" s="10"/>
      <c r="L295" s="71"/>
      <c r="M295" s="62">
        <f>+M238+M242</f>
        <v>14832772.89</v>
      </c>
      <c r="N295" s="62"/>
      <c r="O295" s="62"/>
      <c r="P295" s="62"/>
      <c r="Q295" s="62"/>
      <c r="R295" s="439"/>
      <c r="S295" s="52"/>
      <c r="T295" s="52"/>
      <c r="V295" s="52">
        <f t="shared" si="63"/>
        <v>4192704.1099999994</v>
      </c>
      <c r="AI295" s="52"/>
    </row>
    <row r="296" spans="1:35" ht="12">
      <c r="A296" s="141"/>
      <c r="B296" s="33"/>
      <c r="C296" s="33"/>
      <c r="D296" s="33"/>
      <c r="E296" s="20"/>
      <c r="F296" s="17"/>
      <c r="G296" s="1" t="s">
        <v>704</v>
      </c>
      <c r="H296" s="10"/>
      <c r="I296" s="10"/>
      <c r="J296" s="10"/>
      <c r="K296" s="10"/>
      <c r="L296" s="62">
        <f>H295+I295+J295</f>
        <v>19025477</v>
      </c>
      <c r="M296" s="62"/>
      <c r="N296" s="62"/>
      <c r="O296" s="62"/>
      <c r="P296" s="62"/>
      <c r="Q296" s="62"/>
      <c r="R296" s="439"/>
      <c r="S296" s="52"/>
      <c r="T296" s="52"/>
      <c r="V296" s="52">
        <f t="shared" si="63"/>
        <v>0</v>
      </c>
      <c r="AI296" s="52"/>
    </row>
    <row r="297" spans="1:35" ht="12">
      <c r="A297" s="141"/>
      <c r="B297" s="33"/>
      <c r="C297" s="33"/>
      <c r="D297" s="33"/>
      <c r="E297" s="20"/>
      <c r="F297" s="115"/>
      <c r="G297" s="1" t="s">
        <v>705</v>
      </c>
      <c r="H297" s="10"/>
      <c r="I297" s="10"/>
      <c r="J297" s="10"/>
      <c r="K297" s="10"/>
      <c r="L297" s="62"/>
      <c r="M297" s="62"/>
      <c r="N297" s="62"/>
      <c r="O297" s="62"/>
      <c r="P297" s="62"/>
      <c r="Q297" s="62"/>
      <c r="R297" s="439"/>
      <c r="S297" s="52"/>
      <c r="T297" s="52"/>
      <c r="V297" s="52">
        <f t="shared" si="63"/>
        <v>0</v>
      </c>
      <c r="AI297" s="52"/>
    </row>
    <row r="298" spans="1:35" ht="12">
      <c r="A298" s="141"/>
      <c r="B298" s="33"/>
      <c r="C298" s="33"/>
      <c r="D298" s="33"/>
      <c r="E298" s="20"/>
      <c r="F298" s="17" t="s">
        <v>73</v>
      </c>
      <c r="G298" s="20" t="s">
        <v>674</v>
      </c>
      <c r="H298" s="10">
        <f>+H263</f>
        <v>13099000</v>
      </c>
      <c r="I298" s="10"/>
      <c r="J298" s="10"/>
      <c r="K298" s="10"/>
      <c r="L298" s="71"/>
      <c r="M298" s="62">
        <f>+M263</f>
        <v>12086552.2</v>
      </c>
      <c r="N298" s="62"/>
      <c r="O298" s="62"/>
      <c r="P298" s="62"/>
      <c r="Q298" s="62"/>
      <c r="R298" s="439"/>
      <c r="S298" s="52"/>
      <c r="T298" s="52"/>
      <c r="V298" s="52">
        <f t="shared" si="63"/>
        <v>1012447.8000000007</v>
      </c>
      <c r="AI298" s="52"/>
    </row>
    <row r="299" spans="1:35" ht="12">
      <c r="A299" s="141"/>
      <c r="B299" s="33"/>
      <c r="C299" s="33"/>
      <c r="D299" s="33"/>
      <c r="E299" s="20"/>
      <c r="F299" s="17" t="s">
        <v>413</v>
      </c>
      <c r="G299" s="20" t="s">
        <v>767</v>
      </c>
      <c r="H299" s="10"/>
      <c r="I299" s="10"/>
      <c r="J299" s="10">
        <f>+J263</f>
        <v>1000000</v>
      </c>
      <c r="K299" s="10"/>
      <c r="L299" s="71"/>
      <c r="M299" s="62"/>
      <c r="N299" s="62"/>
      <c r="O299" s="62">
        <f>+O263</f>
        <v>1000000</v>
      </c>
      <c r="P299" s="62"/>
      <c r="Q299" s="62"/>
      <c r="R299" s="439"/>
      <c r="S299" s="52"/>
      <c r="T299" s="52"/>
      <c r="V299" s="52">
        <f t="shared" si="63"/>
        <v>0</v>
      </c>
      <c r="AI299" s="52"/>
    </row>
    <row r="300" spans="1:35" ht="12">
      <c r="A300" s="141"/>
      <c r="B300" s="33"/>
      <c r="C300" s="33"/>
      <c r="D300" s="33"/>
      <c r="E300" s="20"/>
      <c r="F300" s="115"/>
      <c r="G300" s="1" t="s">
        <v>706</v>
      </c>
      <c r="H300" s="10"/>
      <c r="I300" s="10"/>
      <c r="J300" s="10"/>
      <c r="K300" s="10"/>
      <c r="L300" s="62">
        <f>+H298+I298+J299</f>
        <v>14099000</v>
      </c>
      <c r="M300" s="62"/>
      <c r="N300" s="62"/>
      <c r="O300" s="62"/>
      <c r="P300" s="62"/>
      <c r="Q300" s="62"/>
      <c r="R300" s="439"/>
      <c r="S300" s="52"/>
      <c r="T300" s="52"/>
      <c r="V300" s="52">
        <f t="shared" si="63"/>
        <v>0</v>
      </c>
      <c r="AI300" s="52"/>
    </row>
    <row r="301" spans="1:35" ht="12">
      <c r="A301" s="141"/>
      <c r="B301" s="33"/>
      <c r="C301" s="33"/>
      <c r="D301" s="33"/>
      <c r="E301" s="20"/>
      <c r="F301" s="115"/>
      <c r="G301" s="1" t="s">
        <v>707</v>
      </c>
      <c r="H301" s="10"/>
      <c r="I301" s="10"/>
      <c r="J301" s="10"/>
      <c r="K301" s="10"/>
      <c r="L301" s="62"/>
      <c r="M301" s="62"/>
      <c r="N301" s="62"/>
      <c r="O301" s="62"/>
      <c r="P301" s="62"/>
      <c r="Q301" s="62"/>
      <c r="R301" s="439"/>
      <c r="S301" s="52"/>
      <c r="T301" s="52"/>
      <c r="V301" s="52">
        <f t="shared" si="63"/>
        <v>0</v>
      </c>
      <c r="AI301" s="52"/>
    </row>
    <row r="302" spans="1:35" ht="12">
      <c r="A302" s="141"/>
      <c r="B302" s="33"/>
      <c r="C302" s="33"/>
      <c r="D302" s="33"/>
      <c r="E302" s="20"/>
      <c r="F302" s="17" t="s">
        <v>73</v>
      </c>
      <c r="G302" s="20" t="s">
        <v>674</v>
      </c>
      <c r="H302" s="10">
        <f>+H275</f>
        <v>4500000</v>
      </c>
      <c r="I302" s="10"/>
      <c r="J302" s="10"/>
      <c r="K302" s="10"/>
      <c r="L302" s="71"/>
      <c r="M302" s="62">
        <f>+M275</f>
        <v>2763997.12</v>
      </c>
      <c r="N302" s="62"/>
      <c r="O302" s="62"/>
      <c r="P302" s="62"/>
      <c r="Q302" s="62"/>
      <c r="R302" s="439"/>
      <c r="S302" s="52"/>
      <c r="T302" s="52"/>
      <c r="V302" s="52">
        <f t="shared" si="63"/>
        <v>1736002.88</v>
      </c>
      <c r="AI302" s="52"/>
    </row>
    <row r="303" spans="1:35" ht="12">
      <c r="A303" s="141"/>
      <c r="B303" s="33"/>
      <c r="C303" s="33"/>
      <c r="D303" s="33"/>
      <c r="E303" s="20"/>
      <c r="F303" s="17"/>
      <c r="G303" s="1" t="s">
        <v>708</v>
      </c>
      <c r="H303" s="10"/>
      <c r="I303" s="10"/>
      <c r="J303" s="10"/>
      <c r="K303" s="10"/>
      <c r="L303" s="62">
        <f>+H302+I302+J302</f>
        <v>4500000</v>
      </c>
      <c r="M303" s="62"/>
      <c r="N303" s="62"/>
      <c r="O303" s="62"/>
      <c r="P303" s="62"/>
      <c r="Q303" s="62"/>
      <c r="R303" s="439"/>
      <c r="S303" s="52"/>
      <c r="T303" s="52"/>
      <c r="V303" s="52">
        <f t="shared" si="63"/>
        <v>0</v>
      </c>
      <c r="AI303" s="52"/>
    </row>
    <row r="304" spans="1:35" ht="12">
      <c r="A304" s="141"/>
      <c r="B304" s="33"/>
      <c r="C304" s="33"/>
      <c r="D304" s="33"/>
      <c r="E304" s="20"/>
      <c r="F304" s="115"/>
      <c r="G304" s="1" t="s">
        <v>709</v>
      </c>
      <c r="H304" s="10"/>
      <c r="I304" s="10"/>
      <c r="J304" s="10"/>
      <c r="K304" s="10"/>
      <c r="L304" s="62"/>
      <c r="M304" s="62"/>
      <c r="N304" s="62"/>
      <c r="O304" s="62"/>
      <c r="P304" s="62"/>
      <c r="Q304" s="62"/>
      <c r="R304" s="439"/>
      <c r="S304" s="52"/>
      <c r="T304" s="52"/>
      <c r="V304" s="52">
        <f t="shared" si="63"/>
        <v>0</v>
      </c>
      <c r="AI304" s="52"/>
    </row>
    <row r="305" spans="1:35" ht="12">
      <c r="A305" s="141"/>
      <c r="B305" s="33"/>
      <c r="C305" s="33"/>
      <c r="D305" s="33"/>
      <c r="E305" s="20"/>
      <c r="F305" s="17" t="s">
        <v>73</v>
      </c>
      <c r="G305" s="20" t="s">
        <v>674</v>
      </c>
      <c r="H305" s="10">
        <f>+H271</f>
        <v>28000000</v>
      </c>
      <c r="I305" s="10"/>
      <c r="J305" s="10"/>
      <c r="K305" s="10"/>
      <c r="L305" s="71"/>
      <c r="M305" s="62">
        <f>+M271</f>
        <v>21166310.66</v>
      </c>
      <c r="N305" s="62"/>
      <c r="O305" s="62"/>
      <c r="P305" s="62"/>
      <c r="Q305" s="62"/>
      <c r="R305" s="439"/>
      <c r="S305" s="52"/>
      <c r="T305" s="52"/>
      <c r="V305" s="52">
        <f t="shared" si="63"/>
        <v>6833689.34</v>
      </c>
      <c r="AI305" s="52"/>
    </row>
    <row r="306" spans="1:35" ht="12">
      <c r="A306" s="141"/>
      <c r="B306" s="33"/>
      <c r="C306" s="33"/>
      <c r="D306" s="33"/>
      <c r="E306" s="20"/>
      <c r="F306" s="17" t="s">
        <v>413</v>
      </c>
      <c r="G306" s="20" t="s">
        <v>767</v>
      </c>
      <c r="H306" s="10"/>
      <c r="I306" s="10"/>
      <c r="J306" s="10">
        <f>+J271</f>
        <v>4754428</v>
      </c>
      <c r="K306" s="10"/>
      <c r="L306" s="71"/>
      <c r="M306" s="62"/>
      <c r="N306" s="62"/>
      <c r="O306" s="62">
        <f>+O271</f>
        <v>4754428</v>
      </c>
      <c r="P306" s="62"/>
      <c r="Q306" s="62"/>
      <c r="R306" s="439"/>
      <c r="S306" s="52"/>
      <c r="T306" s="52"/>
      <c r="V306" s="52">
        <f t="shared" si="63"/>
        <v>0</v>
      </c>
      <c r="AI306" s="52"/>
    </row>
    <row r="307" spans="1:35" ht="12">
      <c r="A307" s="141"/>
      <c r="B307" s="33"/>
      <c r="C307" s="33"/>
      <c r="D307" s="33"/>
      <c r="E307" s="20"/>
      <c r="F307" s="17"/>
      <c r="G307" s="1" t="s">
        <v>710</v>
      </c>
      <c r="H307" s="10"/>
      <c r="I307" s="10"/>
      <c r="J307" s="10"/>
      <c r="K307" s="10"/>
      <c r="L307" s="62">
        <f>+H305+I305+J306</f>
        <v>32754428</v>
      </c>
      <c r="M307" s="62"/>
      <c r="N307" s="62"/>
      <c r="O307" s="62"/>
      <c r="P307" s="62"/>
      <c r="Q307" s="62"/>
      <c r="R307" s="439"/>
      <c r="S307" s="52"/>
      <c r="T307" s="52"/>
      <c r="V307" s="52">
        <f t="shared" si="63"/>
        <v>0</v>
      </c>
      <c r="AI307" s="52"/>
    </row>
    <row r="308" spans="1:35" ht="12">
      <c r="A308" s="141"/>
      <c r="B308" s="33"/>
      <c r="C308" s="33"/>
      <c r="D308" s="33"/>
      <c r="E308" s="20"/>
      <c r="F308" s="17"/>
      <c r="G308" s="1" t="s">
        <v>711</v>
      </c>
      <c r="H308" s="10"/>
      <c r="I308" s="10"/>
      <c r="J308" s="10"/>
      <c r="K308" s="10"/>
      <c r="L308" s="62"/>
      <c r="M308" s="62"/>
      <c r="N308" s="62"/>
      <c r="O308" s="62"/>
      <c r="P308" s="62"/>
      <c r="Q308" s="62"/>
      <c r="R308" s="439"/>
      <c r="S308" s="52"/>
      <c r="T308" s="52"/>
      <c r="V308" s="52">
        <f t="shared" si="63"/>
        <v>0</v>
      </c>
      <c r="AI308" s="52"/>
    </row>
    <row r="309" spans="1:35" ht="12">
      <c r="A309" s="141"/>
      <c r="B309" s="33"/>
      <c r="C309" s="33"/>
      <c r="D309" s="33"/>
      <c r="E309" s="20"/>
      <c r="F309" s="17" t="s">
        <v>73</v>
      </c>
      <c r="G309" s="20" t="s">
        <v>674</v>
      </c>
      <c r="H309" s="10">
        <f>+H279</f>
        <v>300000</v>
      </c>
      <c r="I309" s="10"/>
      <c r="J309" s="10"/>
      <c r="K309" s="10"/>
      <c r="L309" s="62"/>
      <c r="M309" s="62">
        <f>+M279</f>
        <v>90819</v>
      </c>
      <c r="N309" s="62"/>
      <c r="O309" s="62"/>
      <c r="P309" s="62"/>
      <c r="Q309" s="62"/>
      <c r="R309" s="439"/>
      <c r="S309" s="52"/>
      <c r="T309" s="52"/>
      <c r="V309" s="52">
        <f t="shared" si="63"/>
        <v>209181</v>
      </c>
      <c r="AI309" s="52"/>
    </row>
    <row r="310" spans="1:35" ht="12">
      <c r="A310" s="141"/>
      <c r="B310" s="33"/>
      <c r="C310" s="33"/>
      <c r="D310" s="33"/>
      <c r="E310" s="20"/>
      <c r="F310" s="17"/>
      <c r="G310" s="1" t="s">
        <v>712</v>
      </c>
      <c r="H310" s="10"/>
      <c r="I310" s="10"/>
      <c r="J310" s="10"/>
      <c r="K310" s="10"/>
      <c r="L310" s="62"/>
      <c r="M310" s="62"/>
      <c r="N310" s="62"/>
      <c r="O310" s="62"/>
      <c r="P310" s="62"/>
      <c r="Q310" s="62"/>
      <c r="R310" s="439"/>
      <c r="S310" s="52"/>
      <c r="T310" s="52"/>
      <c r="V310" s="52">
        <f t="shared" si="63"/>
        <v>0</v>
      </c>
      <c r="AI310" s="52"/>
    </row>
    <row r="311" spans="1:35" ht="12">
      <c r="A311" s="141"/>
      <c r="B311" s="33"/>
      <c r="C311" s="33"/>
      <c r="D311" s="33"/>
      <c r="E311" s="20"/>
      <c r="F311" s="17"/>
      <c r="G311" s="1" t="s">
        <v>713</v>
      </c>
      <c r="H311" s="10"/>
      <c r="I311" s="10"/>
      <c r="J311" s="10"/>
      <c r="K311" s="10"/>
      <c r="L311" s="62"/>
      <c r="M311" s="62"/>
      <c r="N311" s="62"/>
      <c r="O311" s="62"/>
      <c r="P311" s="62"/>
      <c r="Q311" s="62"/>
      <c r="R311" s="439"/>
      <c r="S311" s="52"/>
      <c r="T311" s="52"/>
      <c r="V311" s="52">
        <f t="shared" si="63"/>
        <v>0</v>
      </c>
      <c r="AI311" s="52"/>
    </row>
    <row r="312" spans="1:35" ht="12">
      <c r="A312" s="141"/>
      <c r="B312" s="33"/>
      <c r="C312" s="33"/>
      <c r="D312" s="33"/>
      <c r="E312" s="20"/>
      <c r="F312" s="17" t="s">
        <v>73</v>
      </c>
      <c r="G312" s="20" t="s">
        <v>674</v>
      </c>
      <c r="H312" s="10">
        <f>+H287</f>
        <v>300000</v>
      </c>
      <c r="I312" s="10"/>
      <c r="J312" s="10"/>
      <c r="K312" s="10"/>
      <c r="L312" s="62"/>
      <c r="M312" s="62">
        <f>+M287</f>
        <v>97062.19</v>
      </c>
      <c r="N312" s="62"/>
      <c r="O312" s="62"/>
      <c r="P312" s="62"/>
      <c r="Q312" s="62"/>
      <c r="R312" s="439"/>
      <c r="S312" s="52"/>
      <c r="T312" s="52"/>
      <c r="V312" s="52">
        <f t="shared" si="63"/>
        <v>202937.81</v>
      </c>
      <c r="AI312" s="52"/>
    </row>
    <row r="313" spans="1:35" ht="12">
      <c r="A313" s="141"/>
      <c r="B313" s="33"/>
      <c r="C313" s="33"/>
      <c r="D313" s="33"/>
      <c r="E313" s="20"/>
      <c r="F313" s="17"/>
      <c r="G313" s="1" t="s">
        <v>714</v>
      </c>
      <c r="H313" s="10"/>
      <c r="I313" s="10"/>
      <c r="J313" s="10"/>
      <c r="K313" s="10"/>
      <c r="L313" s="62"/>
      <c r="M313" s="62"/>
      <c r="N313" s="62"/>
      <c r="O313" s="62"/>
      <c r="P313" s="62"/>
      <c r="Q313" s="62"/>
      <c r="R313" s="439"/>
      <c r="S313" s="52"/>
      <c r="T313" s="52"/>
      <c r="V313" s="52">
        <f t="shared" si="63"/>
        <v>0</v>
      </c>
      <c r="AI313" s="52"/>
    </row>
    <row r="314" spans="1:35" ht="12">
      <c r="A314" s="141"/>
      <c r="B314" s="33"/>
      <c r="C314" s="33"/>
      <c r="D314" s="33"/>
      <c r="E314" s="20"/>
      <c r="F314" s="115"/>
      <c r="G314" s="1" t="s">
        <v>715</v>
      </c>
      <c r="H314" s="10"/>
      <c r="I314" s="10"/>
      <c r="J314" s="10"/>
      <c r="K314" s="10"/>
      <c r="L314" s="62"/>
      <c r="M314" s="62"/>
      <c r="N314" s="62"/>
      <c r="O314" s="62"/>
      <c r="P314" s="62"/>
      <c r="Q314" s="62"/>
      <c r="R314" s="439"/>
      <c r="S314" s="52"/>
      <c r="T314" s="52"/>
      <c r="V314" s="52">
        <f t="shared" si="63"/>
        <v>0</v>
      </c>
      <c r="AI314" s="52"/>
    </row>
    <row r="315" spans="1:35" ht="12">
      <c r="A315" s="141"/>
      <c r="B315" s="33"/>
      <c r="C315" s="33"/>
      <c r="D315" s="33"/>
      <c r="E315" s="20"/>
      <c r="F315" s="17" t="s">
        <v>73</v>
      </c>
      <c r="G315" s="20" t="s">
        <v>674</v>
      </c>
      <c r="H315" s="10">
        <f>+H267</f>
        <v>500000</v>
      </c>
      <c r="I315" s="10"/>
      <c r="J315" s="10"/>
      <c r="K315" s="10"/>
      <c r="L315" s="71"/>
      <c r="M315" s="62">
        <f>+M267</f>
        <v>500000</v>
      </c>
      <c r="N315" s="62"/>
      <c r="O315" s="62"/>
      <c r="P315" s="62"/>
      <c r="Q315" s="62"/>
      <c r="R315" s="439"/>
      <c r="S315" s="52"/>
      <c r="T315" s="52"/>
      <c r="V315" s="52">
        <f t="shared" si="63"/>
        <v>0</v>
      </c>
      <c r="AI315" s="52"/>
    </row>
    <row r="316" spans="1:35" ht="12">
      <c r="A316" s="141"/>
      <c r="B316" s="33"/>
      <c r="C316" s="33"/>
      <c r="D316" s="33"/>
      <c r="E316" s="20"/>
      <c r="F316" s="115"/>
      <c r="G316" s="1" t="s">
        <v>716</v>
      </c>
      <c r="H316" s="10"/>
      <c r="I316" s="10"/>
      <c r="J316" s="10"/>
      <c r="K316" s="10"/>
      <c r="L316" s="62">
        <f>H315+I315+J315</f>
        <v>500000</v>
      </c>
      <c r="M316" s="62"/>
      <c r="N316" s="62"/>
      <c r="O316" s="62"/>
      <c r="P316" s="62"/>
      <c r="Q316" s="62"/>
      <c r="R316" s="439"/>
      <c r="S316" s="52"/>
      <c r="T316" s="52"/>
      <c r="V316" s="52">
        <f t="shared" si="63"/>
        <v>0</v>
      </c>
      <c r="AI316" s="52"/>
    </row>
    <row r="317" spans="1:35" ht="12">
      <c r="A317" s="141"/>
      <c r="B317" s="33"/>
      <c r="C317" s="33"/>
      <c r="D317" s="33"/>
      <c r="E317" s="20"/>
      <c r="F317" s="115"/>
      <c r="G317" s="1" t="s">
        <v>717</v>
      </c>
      <c r="H317" s="10"/>
      <c r="I317" s="10"/>
      <c r="J317" s="10"/>
      <c r="K317" s="10"/>
      <c r="L317" s="62"/>
      <c r="M317" s="62"/>
      <c r="N317" s="62"/>
      <c r="O317" s="62"/>
      <c r="P317" s="62"/>
      <c r="Q317" s="62"/>
      <c r="R317" s="439"/>
      <c r="S317" s="52"/>
      <c r="T317" s="52"/>
      <c r="V317" s="52">
        <f t="shared" si="63"/>
        <v>0</v>
      </c>
      <c r="AI317" s="52"/>
    </row>
    <row r="318" spans="1:35" ht="12">
      <c r="A318" s="141"/>
      <c r="B318" s="33"/>
      <c r="C318" s="33"/>
      <c r="D318" s="33"/>
      <c r="E318" s="20"/>
      <c r="F318" s="17" t="s">
        <v>73</v>
      </c>
      <c r="G318" s="20" t="s">
        <v>674</v>
      </c>
      <c r="H318" s="10">
        <f>+H246+H247</f>
        <v>9750000</v>
      </c>
      <c r="I318" s="10"/>
      <c r="J318" s="10"/>
      <c r="K318" s="10"/>
      <c r="L318" s="71"/>
      <c r="M318" s="62">
        <f>+M246+M247</f>
        <v>4823369.32</v>
      </c>
      <c r="N318" s="62"/>
      <c r="O318" s="62"/>
      <c r="P318" s="62"/>
      <c r="Q318" s="62"/>
      <c r="R318" s="439"/>
      <c r="S318" s="52"/>
      <c r="T318" s="52"/>
      <c r="V318" s="52">
        <f t="shared" si="63"/>
        <v>4926630.68</v>
      </c>
      <c r="AI318" s="52"/>
    </row>
    <row r="319" spans="1:35" ht="12">
      <c r="A319" s="141"/>
      <c r="B319" s="33"/>
      <c r="C319" s="33"/>
      <c r="D319" s="33"/>
      <c r="E319" s="20"/>
      <c r="F319" s="17" t="s">
        <v>413</v>
      </c>
      <c r="G319" s="20" t="s">
        <v>767</v>
      </c>
      <c r="H319" s="10"/>
      <c r="I319" s="10"/>
      <c r="J319" s="10">
        <f>+J246</f>
        <v>930000</v>
      </c>
      <c r="K319" s="10"/>
      <c r="L319" s="71"/>
      <c r="M319" s="62"/>
      <c r="N319" s="62"/>
      <c r="O319" s="62">
        <f>+O246</f>
        <v>930000</v>
      </c>
      <c r="P319" s="62"/>
      <c r="Q319" s="62"/>
      <c r="R319" s="439"/>
      <c r="S319" s="52"/>
      <c r="T319" s="52"/>
      <c r="V319" s="52">
        <f t="shared" si="63"/>
        <v>0</v>
      </c>
      <c r="AI319" s="52"/>
    </row>
    <row r="320" spans="1:35" ht="12">
      <c r="A320" s="141"/>
      <c r="B320" s="33"/>
      <c r="C320" s="33"/>
      <c r="D320" s="33"/>
      <c r="E320" s="20"/>
      <c r="F320" s="115"/>
      <c r="G320" s="1" t="s">
        <v>718</v>
      </c>
      <c r="H320" s="10"/>
      <c r="I320" s="10"/>
      <c r="J320" s="10"/>
      <c r="K320" s="10"/>
      <c r="L320" s="62">
        <f>+H318+I318+J319</f>
        <v>10680000</v>
      </c>
      <c r="M320" s="62"/>
      <c r="N320" s="62"/>
      <c r="O320" s="62"/>
      <c r="P320" s="62"/>
      <c r="Q320" s="62"/>
      <c r="R320" s="439"/>
      <c r="S320" s="52"/>
      <c r="T320" s="52"/>
      <c r="V320" s="52">
        <f t="shared" si="63"/>
        <v>0</v>
      </c>
      <c r="AI320" s="52"/>
    </row>
    <row r="321" spans="1:35" ht="12">
      <c r="A321" s="141"/>
      <c r="B321" s="33"/>
      <c r="C321" s="33"/>
      <c r="D321" s="33"/>
      <c r="E321" s="20"/>
      <c r="F321" s="115"/>
      <c r="G321" s="1" t="s">
        <v>719</v>
      </c>
      <c r="H321" s="10"/>
      <c r="I321" s="10"/>
      <c r="J321" s="10"/>
      <c r="K321" s="10"/>
      <c r="L321" s="62"/>
      <c r="M321" s="62"/>
      <c r="N321" s="62"/>
      <c r="O321" s="62"/>
      <c r="P321" s="62"/>
      <c r="Q321" s="62"/>
      <c r="R321" s="439"/>
      <c r="S321" s="52"/>
      <c r="T321" s="52"/>
      <c r="V321" s="52">
        <f t="shared" si="63"/>
        <v>0</v>
      </c>
      <c r="AI321" s="52"/>
    </row>
    <row r="322" spans="1:35" ht="12">
      <c r="A322" s="141"/>
      <c r="B322" s="33"/>
      <c r="C322" s="33"/>
      <c r="D322" s="33"/>
      <c r="E322" s="20"/>
      <c r="F322" s="17" t="s">
        <v>73</v>
      </c>
      <c r="G322" s="20" t="s">
        <v>674</v>
      </c>
      <c r="H322" s="10">
        <f>+H251</f>
        <v>4000000</v>
      </c>
      <c r="I322" s="10"/>
      <c r="J322" s="10"/>
      <c r="K322" s="10"/>
      <c r="L322" s="71"/>
      <c r="M322" s="62">
        <f>+M251</f>
        <v>2114178.68</v>
      </c>
      <c r="N322" s="62"/>
      <c r="O322" s="62"/>
      <c r="P322" s="62"/>
      <c r="Q322" s="62"/>
      <c r="R322" s="439"/>
      <c r="S322" s="52"/>
      <c r="T322" s="52"/>
      <c r="V322" s="52">
        <f t="shared" si="63"/>
        <v>1885821.3199999998</v>
      </c>
      <c r="AI322" s="52"/>
    </row>
    <row r="323" spans="1:35" ht="12">
      <c r="A323" s="141"/>
      <c r="B323" s="33"/>
      <c r="C323" s="33"/>
      <c r="D323" s="33"/>
      <c r="E323" s="20"/>
      <c r="F323" s="17" t="s">
        <v>413</v>
      </c>
      <c r="G323" s="20" t="s">
        <v>767</v>
      </c>
      <c r="H323" s="10"/>
      <c r="I323" s="10"/>
      <c r="J323" s="10">
        <f>+J251</f>
        <v>570000</v>
      </c>
      <c r="K323" s="10"/>
      <c r="L323" s="71"/>
      <c r="M323" s="62"/>
      <c r="N323" s="62"/>
      <c r="O323" s="62">
        <f>+O251</f>
        <v>570000</v>
      </c>
      <c r="P323" s="62"/>
      <c r="Q323" s="62"/>
      <c r="R323" s="439"/>
      <c r="S323" s="52"/>
      <c r="T323" s="52"/>
      <c r="V323" s="52">
        <f t="shared" si="63"/>
        <v>0</v>
      </c>
      <c r="AI323" s="52"/>
    </row>
    <row r="324" spans="1:35" ht="12">
      <c r="A324" s="141"/>
      <c r="B324" s="33"/>
      <c r="C324" s="33"/>
      <c r="D324" s="33"/>
      <c r="E324" s="20"/>
      <c r="F324" s="115"/>
      <c r="G324" s="1" t="s">
        <v>720</v>
      </c>
      <c r="H324" s="10"/>
      <c r="I324" s="10"/>
      <c r="J324" s="10"/>
      <c r="K324" s="10"/>
      <c r="L324" s="62">
        <f>+H322+I322+J323</f>
        <v>4570000</v>
      </c>
      <c r="M324" s="62"/>
      <c r="N324" s="62"/>
      <c r="O324" s="62"/>
      <c r="P324" s="62"/>
      <c r="Q324" s="62"/>
      <c r="R324" s="439"/>
      <c r="S324" s="52"/>
      <c r="T324" s="52"/>
      <c r="V324" s="52">
        <f t="shared" si="63"/>
        <v>0</v>
      </c>
      <c r="AI324" s="52"/>
    </row>
    <row r="325" spans="1:35" ht="12">
      <c r="A325" s="141"/>
      <c r="B325" s="33"/>
      <c r="C325" s="33"/>
      <c r="D325" s="33"/>
      <c r="E325" s="20"/>
      <c r="F325" s="115"/>
      <c r="G325" s="1" t="s">
        <v>721</v>
      </c>
      <c r="H325" s="10"/>
      <c r="I325" s="10"/>
      <c r="J325" s="10"/>
      <c r="K325" s="10"/>
      <c r="L325" s="62"/>
      <c r="M325" s="62"/>
      <c r="N325" s="62"/>
      <c r="O325" s="62"/>
      <c r="P325" s="62"/>
      <c r="Q325" s="62"/>
      <c r="R325" s="439"/>
      <c r="S325" s="52"/>
      <c r="T325" s="52"/>
      <c r="V325" s="52">
        <f t="shared" si="63"/>
        <v>0</v>
      </c>
      <c r="AI325" s="52"/>
    </row>
    <row r="326" spans="1:35" ht="12">
      <c r="A326" s="141"/>
      <c r="B326" s="33"/>
      <c r="C326" s="33"/>
      <c r="D326" s="33"/>
      <c r="E326" s="20"/>
      <c r="F326" s="17" t="s">
        <v>73</v>
      </c>
      <c r="G326" s="20" t="s">
        <v>674</v>
      </c>
      <c r="H326" s="10">
        <f>+H255+H283</f>
        <v>1043025</v>
      </c>
      <c r="I326" s="10"/>
      <c r="J326" s="10"/>
      <c r="K326" s="10"/>
      <c r="L326" s="71"/>
      <c r="M326" s="62">
        <f>+M255+M283</f>
        <v>773025</v>
      </c>
      <c r="N326" s="62"/>
      <c r="O326" s="62"/>
      <c r="P326" s="62"/>
      <c r="Q326" s="62"/>
      <c r="R326" s="439"/>
      <c r="S326" s="52"/>
      <c r="T326" s="52"/>
      <c r="V326" s="52">
        <f t="shared" si="63"/>
        <v>270000</v>
      </c>
      <c r="AI326" s="52"/>
    </row>
    <row r="327" spans="1:35" ht="12">
      <c r="A327" s="141"/>
      <c r="B327" s="33"/>
      <c r="C327" s="33"/>
      <c r="D327" s="33"/>
      <c r="E327" s="20"/>
      <c r="F327" s="115"/>
      <c r="G327" s="1" t="s">
        <v>722</v>
      </c>
      <c r="H327" s="10"/>
      <c r="I327" s="10"/>
      <c r="J327" s="10"/>
      <c r="K327" s="10"/>
      <c r="L327" s="62">
        <f>+H326+I326+J326</f>
        <v>1043025</v>
      </c>
      <c r="M327" s="62"/>
      <c r="N327" s="62"/>
      <c r="O327" s="62"/>
      <c r="P327" s="62"/>
      <c r="Q327" s="62"/>
      <c r="R327" s="439"/>
      <c r="S327" s="52"/>
      <c r="T327" s="52"/>
      <c r="V327" s="52">
        <f t="shared" si="63"/>
        <v>0</v>
      </c>
      <c r="AI327" s="52"/>
    </row>
    <row r="328" spans="1:35" ht="12">
      <c r="A328" s="141"/>
      <c r="B328" s="33"/>
      <c r="C328" s="33"/>
      <c r="D328" s="33"/>
      <c r="E328" s="20"/>
      <c r="F328" s="115"/>
      <c r="G328" s="1" t="s">
        <v>659</v>
      </c>
      <c r="H328" s="10"/>
      <c r="I328" s="10"/>
      <c r="J328" s="10"/>
      <c r="K328" s="10"/>
      <c r="L328" s="62"/>
      <c r="M328" s="62"/>
      <c r="N328" s="62"/>
      <c r="O328" s="62"/>
      <c r="P328" s="62"/>
      <c r="Q328" s="62"/>
      <c r="R328" s="439"/>
      <c r="S328" s="52"/>
      <c r="T328" s="52"/>
      <c r="V328" s="52">
        <f t="shared" si="63"/>
        <v>0</v>
      </c>
      <c r="AI328" s="52"/>
    </row>
    <row r="329" spans="1:35" ht="12">
      <c r="A329" s="141"/>
      <c r="B329" s="33"/>
      <c r="C329" s="33"/>
      <c r="D329" s="433"/>
      <c r="E329" s="20"/>
      <c r="F329" s="17" t="s">
        <v>73</v>
      </c>
      <c r="G329" s="20" t="s">
        <v>674</v>
      </c>
      <c r="H329" s="10">
        <f>SUM(H292:H328)</f>
        <v>80517502</v>
      </c>
      <c r="I329" s="10"/>
      <c r="J329" s="10"/>
      <c r="K329" s="10"/>
      <c r="L329" s="71"/>
      <c r="M329" s="62">
        <f>+M289</f>
        <v>59248087.059999995</v>
      </c>
      <c r="N329" s="62"/>
      <c r="O329" s="62"/>
      <c r="P329" s="62"/>
      <c r="Q329" s="62"/>
      <c r="R329" s="439"/>
      <c r="S329" s="52"/>
      <c r="T329" s="52"/>
      <c r="V329" s="52">
        <f t="shared" si="63"/>
        <v>21269414.940000005</v>
      </c>
      <c r="AI329" s="52"/>
    </row>
    <row r="330" spans="1:35" ht="12">
      <c r="A330" s="141"/>
      <c r="B330" s="33"/>
      <c r="C330" s="33"/>
      <c r="D330" s="433"/>
      <c r="E330" s="20"/>
      <c r="F330" s="17" t="s">
        <v>413</v>
      </c>
      <c r="G330" s="20" t="s">
        <v>767</v>
      </c>
      <c r="H330" s="10"/>
      <c r="I330" s="10"/>
      <c r="J330" s="10">
        <f>+SUM(J292:J327)</f>
        <v>7254428</v>
      </c>
      <c r="K330" s="10"/>
      <c r="L330" s="71"/>
      <c r="M330" s="62"/>
      <c r="N330" s="62"/>
      <c r="O330" s="62">
        <f>+SUM(O292:O327)</f>
        <v>7254428</v>
      </c>
      <c r="P330" s="62"/>
      <c r="Q330" s="62"/>
      <c r="R330" s="439"/>
      <c r="S330" s="52"/>
      <c r="T330" s="52"/>
      <c r="V330" s="52">
        <f t="shared" si="63"/>
        <v>0</v>
      </c>
      <c r="AI330" s="52"/>
    </row>
    <row r="331" spans="1:35" ht="12">
      <c r="A331" s="137"/>
      <c r="B331" s="25"/>
      <c r="C331" s="25"/>
      <c r="D331" s="25"/>
      <c r="E331" s="23"/>
      <c r="F331" s="116"/>
      <c r="G331" s="90" t="s">
        <v>623</v>
      </c>
      <c r="H331" s="407"/>
      <c r="I331" s="407"/>
      <c r="J331" s="407"/>
      <c r="K331" s="407"/>
      <c r="L331" s="53">
        <f>+H329+I329+J330</f>
        <v>87771930</v>
      </c>
      <c r="M331" s="53"/>
      <c r="N331" s="53"/>
      <c r="O331" s="53"/>
      <c r="P331" s="53"/>
      <c r="Q331" s="53"/>
      <c r="R331" s="543">
        <f>+O330+M329</f>
        <v>66502515.059999995</v>
      </c>
      <c r="S331" s="52"/>
      <c r="T331" s="52"/>
      <c r="V331" s="52">
        <f t="shared" si="63"/>
        <v>0</v>
      </c>
      <c r="AI331" s="52"/>
    </row>
    <row r="332" spans="1:35" ht="12">
      <c r="A332" s="33"/>
      <c r="B332" s="33"/>
      <c r="C332" s="33"/>
      <c r="D332" s="33"/>
      <c r="E332" s="20"/>
      <c r="F332" s="115"/>
      <c r="G332" s="9"/>
      <c r="H332" s="10"/>
      <c r="I332" s="10"/>
      <c r="J332" s="10"/>
      <c r="K332" s="10"/>
      <c r="L332" s="62"/>
      <c r="M332" s="52"/>
      <c r="N332" s="52"/>
      <c r="O332" s="52"/>
      <c r="P332" s="52"/>
      <c r="Q332" s="52"/>
      <c r="S332" s="52"/>
      <c r="T332" s="52"/>
      <c r="V332" s="52">
        <f t="shared" si="63"/>
        <v>0</v>
      </c>
      <c r="AI332" s="52"/>
    </row>
    <row r="333" spans="1:35" ht="12">
      <c r="A333" s="80"/>
      <c r="B333" s="80"/>
      <c r="C333" s="80" t="s">
        <v>79</v>
      </c>
      <c r="D333" s="80"/>
      <c r="E333" s="85"/>
      <c r="F333" s="112"/>
      <c r="G333" s="94" t="s">
        <v>785</v>
      </c>
      <c r="H333" s="399"/>
      <c r="I333" s="399"/>
      <c r="J333" s="399"/>
      <c r="K333" s="421"/>
      <c r="L333" s="386"/>
      <c r="M333" s="86"/>
      <c r="N333" s="86"/>
      <c r="O333" s="86"/>
      <c r="P333" s="86"/>
      <c r="Q333" s="86"/>
      <c r="R333" s="435"/>
      <c r="S333" s="52"/>
      <c r="T333" s="52"/>
      <c r="V333" s="52">
        <f t="shared" si="63"/>
        <v>0</v>
      </c>
      <c r="AI333" s="52"/>
    </row>
    <row r="334" spans="1:35" ht="12">
      <c r="A334" s="80"/>
      <c r="B334" s="80"/>
      <c r="C334" s="80"/>
      <c r="D334" s="80"/>
      <c r="E334" s="85"/>
      <c r="F334" s="112"/>
      <c r="G334" s="94"/>
      <c r="H334" s="399"/>
      <c r="I334" s="399"/>
      <c r="J334" s="399"/>
      <c r="K334" s="421"/>
      <c r="L334" s="386"/>
      <c r="M334" s="86"/>
      <c r="N334" s="86"/>
      <c r="O334" s="86"/>
      <c r="P334" s="86"/>
      <c r="Q334" s="86"/>
      <c r="R334" s="435"/>
      <c r="S334" s="52"/>
      <c r="T334" s="52"/>
      <c r="V334" s="52">
        <f t="shared" si="63"/>
        <v>0</v>
      </c>
      <c r="AI334" s="52"/>
    </row>
    <row r="335" spans="1:35" ht="12">
      <c r="A335" s="80"/>
      <c r="B335" s="80"/>
      <c r="C335" s="80" t="s">
        <v>80</v>
      </c>
      <c r="D335" s="88"/>
      <c r="E335" s="85"/>
      <c r="F335" s="112"/>
      <c r="G335" s="82" t="s">
        <v>624</v>
      </c>
      <c r="H335" s="399"/>
      <c r="I335" s="399"/>
      <c r="J335" s="399"/>
      <c r="K335" s="421"/>
      <c r="L335" s="386"/>
      <c r="M335" s="86"/>
      <c r="N335" s="86"/>
      <c r="O335" s="86"/>
      <c r="P335" s="86"/>
      <c r="Q335" s="86"/>
      <c r="R335" s="435"/>
      <c r="S335" s="52"/>
      <c r="T335" s="52"/>
      <c r="V335" s="52">
        <f t="shared" si="63"/>
        <v>0</v>
      </c>
      <c r="AI335" s="52"/>
    </row>
    <row r="336" spans="1:35" ht="12">
      <c r="A336" s="80"/>
      <c r="B336" s="80"/>
      <c r="C336" s="80"/>
      <c r="D336" s="89">
        <v>160</v>
      </c>
      <c r="E336" s="85"/>
      <c r="F336" s="112"/>
      <c r="G336" s="82" t="s">
        <v>786</v>
      </c>
      <c r="H336" s="399"/>
      <c r="I336" s="399"/>
      <c r="J336" s="399"/>
      <c r="K336" s="421"/>
      <c r="L336" s="386"/>
      <c r="M336" s="86"/>
      <c r="N336" s="86"/>
      <c r="O336" s="86"/>
      <c r="P336" s="86"/>
      <c r="Q336" s="86"/>
      <c r="R336" s="435"/>
      <c r="S336" s="52"/>
      <c r="T336" s="52"/>
      <c r="V336" s="52">
        <f t="shared" si="63"/>
        <v>0</v>
      </c>
      <c r="AI336" s="52"/>
    </row>
    <row r="337" spans="1:35" ht="12">
      <c r="A337" s="80">
        <f>+A275+1</f>
        <v>75</v>
      </c>
      <c r="B337" s="80"/>
      <c r="C337" s="80"/>
      <c r="D337" s="83"/>
      <c r="E337" s="85">
        <v>4819</v>
      </c>
      <c r="F337" s="112"/>
      <c r="G337" s="83" t="s">
        <v>700</v>
      </c>
      <c r="H337" s="399">
        <f>4000000</f>
        <v>4000000</v>
      </c>
      <c r="I337" s="420"/>
      <c r="J337" s="420"/>
      <c r="K337" s="460"/>
      <c r="L337" s="386">
        <f>+H337+I337+J337</f>
        <v>4000000</v>
      </c>
      <c r="M337" s="86">
        <v>3171780</v>
      </c>
      <c r="N337" s="86"/>
      <c r="O337" s="86"/>
      <c r="P337" s="86"/>
      <c r="Q337" s="86">
        <v>0</v>
      </c>
      <c r="R337" s="435">
        <f>+M337/H337*100</f>
        <v>79.2945</v>
      </c>
      <c r="S337" s="52"/>
      <c r="T337" s="52"/>
      <c r="V337" s="52">
        <f t="shared" si="63"/>
        <v>828220</v>
      </c>
      <c r="AI337" s="52"/>
    </row>
    <row r="338" spans="1:35" ht="12">
      <c r="A338" s="80"/>
      <c r="B338" s="80"/>
      <c r="C338" s="80"/>
      <c r="D338" s="83"/>
      <c r="E338" s="85"/>
      <c r="F338" s="112"/>
      <c r="G338" s="83"/>
      <c r="H338" s="399"/>
      <c r="I338" s="420"/>
      <c r="J338" s="420"/>
      <c r="K338" s="460"/>
      <c r="L338" s="386"/>
      <c r="M338" s="86"/>
      <c r="N338" s="86"/>
      <c r="O338" s="86"/>
      <c r="P338" s="86"/>
      <c r="Q338" s="86"/>
      <c r="R338" s="435"/>
      <c r="S338" s="52"/>
      <c r="T338" s="52"/>
      <c r="V338" s="52">
        <f t="shared" si="63"/>
        <v>0</v>
      </c>
      <c r="AI338" s="52"/>
    </row>
    <row r="339" spans="1:35" ht="12">
      <c r="A339" s="80"/>
      <c r="B339" s="80"/>
      <c r="C339" s="80" t="s">
        <v>365</v>
      </c>
      <c r="D339" s="89"/>
      <c r="E339" s="85"/>
      <c r="F339" s="112"/>
      <c r="G339" s="82" t="s">
        <v>787</v>
      </c>
      <c r="H339" s="399"/>
      <c r="I339" s="399"/>
      <c r="J339" s="399"/>
      <c r="K339" s="421"/>
      <c r="L339" s="386"/>
      <c r="M339" s="86"/>
      <c r="N339" s="86"/>
      <c r="O339" s="86"/>
      <c r="P339" s="86"/>
      <c r="Q339" s="86"/>
      <c r="R339" s="435"/>
      <c r="S339" s="52"/>
      <c r="T339" s="52"/>
      <c r="V339" s="52">
        <f t="shared" si="63"/>
        <v>0</v>
      </c>
      <c r="AI339" s="52"/>
    </row>
    <row r="340" spans="1:35" ht="12">
      <c r="A340" s="80"/>
      <c r="B340" s="80"/>
      <c r="C340" s="80"/>
      <c r="D340" s="89">
        <v>820</v>
      </c>
      <c r="E340" s="85"/>
      <c r="F340" s="112"/>
      <c r="G340" s="82" t="s">
        <v>621</v>
      </c>
      <c r="H340" s="399"/>
      <c r="I340" s="399"/>
      <c r="J340" s="399"/>
      <c r="K340" s="421"/>
      <c r="L340" s="386"/>
      <c r="M340" s="86"/>
      <c r="N340" s="86"/>
      <c r="O340" s="86"/>
      <c r="P340" s="86"/>
      <c r="Q340" s="86"/>
      <c r="R340" s="435"/>
      <c r="S340" s="52"/>
      <c r="T340" s="52"/>
      <c r="V340" s="52">
        <f t="shared" si="63"/>
        <v>0</v>
      </c>
      <c r="AI340" s="52"/>
    </row>
    <row r="341" spans="1:35" ht="12">
      <c r="A341" s="80">
        <f>+A337+1</f>
        <v>76</v>
      </c>
      <c r="B341" s="80"/>
      <c r="C341" s="80"/>
      <c r="D341" s="83"/>
      <c r="E341" s="85">
        <v>4819</v>
      </c>
      <c r="F341" s="112"/>
      <c r="G341" s="83" t="s">
        <v>700</v>
      </c>
      <c r="H341" s="399">
        <v>500000</v>
      </c>
      <c r="I341" s="420"/>
      <c r="J341" s="420"/>
      <c r="K341" s="460"/>
      <c r="L341" s="386">
        <f>+H341+I341+J341</f>
        <v>500000</v>
      </c>
      <c r="M341" s="86">
        <v>390000</v>
      </c>
      <c r="N341" s="86"/>
      <c r="O341" s="86"/>
      <c r="P341" s="86"/>
      <c r="Q341" s="86">
        <v>0</v>
      </c>
      <c r="R341" s="435">
        <f>+M341/H341*100</f>
        <v>78</v>
      </c>
      <c r="S341" s="52"/>
      <c r="T341" s="52"/>
      <c r="V341" s="52">
        <f t="shared" si="63"/>
        <v>110000</v>
      </c>
      <c r="AI341" s="52"/>
    </row>
    <row r="342" spans="1:35" ht="12">
      <c r="A342" s="80"/>
      <c r="B342" s="80"/>
      <c r="C342" s="80"/>
      <c r="D342" s="83"/>
      <c r="E342" s="85"/>
      <c r="F342" s="112"/>
      <c r="G342" s="83"/>
      <c r="H342" s="399"/>
      <c r="I342" s="420"/>
      <c r="J342" s="420"/>
      <c r="K342" s="460"/>
      <c r="L342" s="386"/>
      <c r="M342" s="86"/>
      <c r="N342" s="86"/>
      <c r="O342" s="86"/>
      <c r="P342" s="86"/>
      <c r="Q342" s="86"/>
      <c r="R342" s="435"/>
      <c r="S342" s="52"/>
      <c r="T342" s="52"/>
      <c r="V342" s="52">
        <f t="shared" si="63"/>
        <v>0</v>
      </c>
      <c r="AI342" s="52"/>
    </row>
    <row r="343" spans="1:35" ht="12">
      <c r="A343" s="83"/>
      <c r="B343" s="83"/>
      <c r="C343" s="80" t="s">
        <v>82</v>
      </c>
      <c r="D343" s="88"/>
      <c r="E343" s="85"/>
      <c r="F343" s="112"/>
      <c r="G343" s="82" t="s">
        <v>723</v>
      </c>
      <c r="H343" s="399"/>
      <c r="I343" s="399"/>
      <c r="J343" s="399"/>
      <c r="K343" s="421"/>
      <c r="L343" s="386"/>
      <c r="M343" s="86"/>
      <c r="N343" s="86"/>
      <c r="O343" s="86"/>
      <c r="P343" s="86"/>
      <c r="Q343" s="86"/>
      <c r="R343" s="435"/>
      <c r="S343" s="52"/>
      <c r="T343" s="52"/>
      <c r="V343" s="52">
        <f t="shared" si="63"/>
        <v>0</v>
      </c>
      <c r="AI343" s="52"/>
    </row>
    <row r="344" spans="1:35" ht="12">
      <c r="A344" s="83"/>
      <c r="B344" s="83"/>
      <c r="C344" s="83"/>
      <c r="D344" s="89">
        <v>840</v>
      </c>
      <c r="E344" s="85"/>
      <c r="F344" s="112"/>
      <c r="G344" s="82" t="s">
        <v>724</v>
      </c>
      <c r="H344" s="399"/>
      <c r="I344" s="399"/>
      <c r="J344" s="399"/>
      <c r="K344" s="421"/>
      <c r="L344" s="386"/>
      <c r="M344" s="86"/>
      <c r="N344" s="86"/>
      <c r="O344" s="86"/>
      <c r="P344" s="86"/>
      <c r="Q344" s="86"/>
      <c r="R344" s="435"/>
      <c r="S344" s="52"/>
      <c r="T344" s="52"/>
      <c r="V344" s="52">
        <f t="shared" si="63"/>
        <v>0</v>
      </c>
      <c r="AI344" s="52"/>
    </row>
    <row r="345" spans="1:35" ht="12">
      <c r="A345" s="80">
        <f>+A341+1</f>
        <v>77</v>
      </c>
      <c r="B345" s="80"/>
      <c r="C345" s="80"/>
      <c r="D345" s="83"/>
      <c r="E345" s="85">
        <v>4819</v>
      </c>
      <c r="F345" s="112"/>
      <c r="G345" s="83" t="s">
        <v>700</v>
      </c>
      <c r="H345" s="399">
        <v>1000000</v>
      </c>
      <c r="I345" s="399"/>
      <c r="J345" s="399"/>
      <c r="K345" s="421"/>
      <c r="L345" s="386">
        <f>+H345+I345+J345</f>
        <v>1000000</v>
      </c>
      <c r="M345" s="86">
        <v>880000</v>
      </c>
      <c r="N345" s="86"/>
      <c r="O345" s="86"/>
      <c r="P345" s="86"/>
      <c r="Q345" s="86">
        <v>0</v>
      </c>
      <c r="R345" s="435">
        <f>+M345/H345*100</f>
        <v>88</v>
      </c>
      <c r="S345" s="52"/>
      <c r="T345" s="52"/>
      <c r="V345" s="52">
        <f aca="true" t="shared" si="65" ref="V345:V408">+H345-(M345+Q345)</f>
        <v>120000</v>
      </c>
      <c r="AI345" s="52"/>
    </row>
    <row r="346" spans="1:35" ht="12">
      <c r="A346" s="26"/>
      <c r="B346" s="26"/>
      <c r="C346" s="26"/>
      <c r="D346" s="31"/>
      <c r="E346" s="29"/>
      <c r="F346" s="113"/>
      <c r="G346" s="31"/>
      <c r="H346" s="399"/>
      <c r="I346" s="399"/>
      <c r="J346" s="399"/>
      <c r="K346" s="421"/>
      <c r="L346" s="386"/>
      <c r="M346" s="86"/>
      <c r="N346" s="86"/>
      <c r="O346" s="86"/>
      <c r="P346" s="86"/>
      <c r="Q346" s="86"/>
      <c r="R346" s="435"/>
      <c r="S346" s="52"/>
      <c r="T346" s="52"/>
      <c r="V346" s="52">
        <f t="shared" si="65"/>
        <v>0</v>
      </c>
      <c r="AI346" s="52"/>
    </row>
    <row r="347" spans="1:35" ht="12">
      <c r="A347" s="80"/>
      <c r="B347" s="80"/>
      <c r="C347" s="80" t="s">
        <v>116</v>
      </c>
      <c r="D347" s="89"/>
      <c r="E347" s="83"/>
      <c r="F347" s="142"/>
      <c r="G347" s="82" t="s">
        <v>760</v>
      </c>
      <c r="H347" s="425"/>
      <c r="I347" s="425"/>
      <c r="J347" s="425"/>
      <c r="K347" s="462"/>
      <c r="L347" s="386"/>
      <c r="M347" s="86"/>
      <c r="N347" s="86"/>
      <c r="O347" s="86"/>
      <c r="P347" s="86"/>
      <c r="Q347" s="86"/>
      <c r="R347" s="435"/>
      <c r="S347" s="52"/>
      <c r="T347" s="52"/>
      <c r="V347" s="52">
        <f t="shared" si="65"/>
        <v>0</v>
      </c>
      <c r="AI347" s="52"/>
    </row>
    <row r="348" spans="1:35" ht="12">
      <c r="A348" s="80"/>
      <c r="B348" s="80"/>
      <c r="C348" s="80"/>
      <c r="D348" s="89">
        <v>810</v>
      </c>
      <c r="E348" s="83"/>
      <c r="F348" s="142"/>
      <c r="G348" s="82" t="s">
        <v>725</v>
      </c>
      <c r="H348" s="425"/>
      <c r="I348" s="425"/>
      <c r="J348" s="425"/>
      <c r="K348" s="462"/>
      <c r="L348" s="386"/>
      <c r="M348" s="86"/>
      <c r="N348" s="86"/>
      <c r="O348" s="86"/>
      <c r="P348" s="86"/>
      <c r="Q348" s="86"/>
      <c r="R348" s="435"/>
      <c r="S348" s="52"/>
      <c r="T348" s="52"/>
      <c r="V348" s="52">
        <f t="shared" si="65"/>
        <v>0</v>
      </c>
      <c r="AI348" s="52"/>
    </row>
    <row r="349" spans="1:35" ht="12">
      <c r="A349" s="80">
        <f>+A345+1</f>
        <v>78</v>
      </c>
      <c r="B349" s="80"/>
      <c r="C349" s="80"/>
      <c r="D349" s="80"/>
      <c r="E349" s="85">
        <v>48191</v>
      </c>
      <c r="F349" s="112"/>
      <c r="G349" s="83" t="s">
        <v>726</v>
      </c>
      <c r="H349" s="399">
        <f>6000000+500000</f>
        <v>6500000</v>
      </c>
      <c r="I349" s="399"/>
      <c r="J349" s="399"/>
      <c r="K349" s="421"/>
      <c r="L349" s="386">
        <f>+H349+I349+J349</f>
        <v>6500000</v>
      </c>
      <c r="M349" s="86">
        <v>5333824.6</v>
      </c>
      <c r="N349" s="86"/>
      <c r="O349" s="86"/>
      <c r="P349" s="86"/>
      <c r="Q349" s="86">
        <v>0</v>
      </c>
      <c r="R349" s="435">
        <f>+M349/H349*100</f>
        <v>82.05884</v>
      </c>
      <c r="S349" s="52"/>
      <c r="T349" s="52"/>
      <c r="V349" s="52">
        <f t="shared" si="65"/>
        <v>1166175.4000000004</v>
      </c>
      <c r="AI349" s="52"/>
    </row>
    <row r="350" spans="1:35" ht="12">
      <c r="A350" s="24"/>
      <c r="B350" s="24"/>
      <c r="C350" s="24"/>
      <c r="D350" s="24"/>
      <c r="E350" s="38"/>
      <c r="F350" s="114"/>
      <c r="G350" s="34"/>
      <c r="H350" s="414"/>
      <c r="I350" s="414"/>
      <c r="J350" s="414"/>
      <c r="K350" s="416"/>
      <c r="L350" s="387"/>
      <c r="M350" s="86"/>
      <c r="N350" s="86"/>
      <c r="O350" s="86"/>
      <c r="P350" s="86"/>
      <c r="Q350" s="86"/>
      <c r="R350" s="435"/>
      <c r="S350" s="52"/>
      <c r="T350" s="52"/>
      <c r="V350" s="52">
        <f t="shared" si="65"/>
        <v>0</v>
      </c>
      <c r="AI350" s="52"/>
    </row>
    <row r="351" spans="1:35" ht="12">
      <c r="A351" s="83"/>
      <c r="B351" s="83"/>
      <c r="C351" s="80" t="s">
        <v>117</v>
      </c>
      <c r="D351" s="88"/>
      <c r="E351" s="85"/>
      <c r="F351" s="112"/>
      <c r="G351" s="82" t="s">
        <v>660</v>
      </c>
      <c r="H351" s="399"/>
      <c r="I351" s="399"/>
      <c r="J351" s="399"/>
      <c r="K351" s="421"/>
      <c r="L351" s="386"/>
      <c r="M351" s="86"/>
      <c r="N351" s="86"/>
      <c r="O351" s="86"/>
      <c r="P351" s="86"/>
      <c r="Q351" s="86"/>
      <c r="R351" s="435"/>
      <c r="S351" s="52"/>
      <c r="T351" s="52"/>
      <c r="V351" s="52">
        <f t="shared" si="65"/>
        <v>0</v>
      </c>
      <c r="AI351" s="52"/>
    </row>
    <row r="352" spans="1:35" ht="12">
      <c r="A352" s="83"/>
      <c r="B352" s="83"/>
      <c r="C352" s="80"/>
      <c r="D352" s="80">
        <v>620</v>
      </c>
      <c r="E352" s="85"/>
      <c r="F352" s="112"/>
      <c r="G352" s="82" t="s">
        <v>697</v>
      </c>
      <c r="H352" s="399"/>
      <c r="I352" s="399"/>
      <c r="J352" s="399"/>
      <c r="K352" s="421"/>
      <c r="L352" s="386"/>
      <c r="M352" s="86"/>
      <c r="N352" s="86"/>
      <c r="O352" s="86"/>
      <c r="P352" s="86"/>
      <c r="Q352" s="86"/>
      <c r="R352" s="435"/>
      <c r="S352" s="52"/>
      <c r="T352" s="52"/>
      <c r="V352" s="52">
        <f t="shared" si="65"/>
        <v>0</v>
      </c>
      <c r="AI352" s="52"/>
    </row>
    <row r="353" spans="1:35" ht="12">
      <c r="A353" s="80">
        <f>+A349+1</f>
        <v>79</v>
      </c>
      <c r="B353" s="80"/>
      <c r="C353" s="80"/>
      <c r="D353" s="80"/>
      <c r="E353" s="85">
        <v>500</v>
      </c>
      <c r="F353" s="112"/>
      <c r="G353" s="83" t="s">
        <v>563</v>
      </c>
      <c r="H353" s="399">
        <v>22306354</v>
      </c>
      <c r="I353" s="399"/>
      <c r="J353" s="399"/>
      <c r="K353" s="421">
        <v>4134661</v>
      </c>
      <c r="L353" s="386">
        <f>+H353+I353+J353+K353</f>
        <v>26441015</v>
      </c>
      <c r="M353" s="86">
        <f>1063696.8+179372+1744714.3+1055178+2208000.12+312453.62+352800+113.76+2278758</f>
        <v>9195086.600000001</v>
      </c>
      <c r="N353" s="86"/>
      <c r="O353" s="86"/>
      <c r="P353" s="86">
        <f>1129915.2+92214.6+225056.71+243555.91+129886.24+2134661</f>
        <v>3955289.66</v>
      </c>
      <c r="Q353" s="86">
        <v>3479417.27</v>
      </c>
      <c r="R353" s="435">
        <f>+M353/H353*100</f>
        <v>41.22182674945444</v>
      </c>
      <c r="S353" s="52"/>
      <c r="T353" s="52"/>
      <c r="V353" s="52">
        <f t="shared" si="65"/>
        <v>9631850.129999999</v>
      </c>
      <c r="AI353" s="52"/>
    </row>
    <row r="354" spans="1:35" s="71" customFormat="1" ht="12">
      <c r="A354" s="33"/>
      <c r="B354" s="33"/>
      <c r="C354" s="33"/>
      <c r="D354" s="33"/>
      <c r="E354" s="20"/>
      <c r="F354" s="115"/>
      <c r="G354" s="9"/>
      <c r="H354" s="10"/>
      <c r="I354" s="10"/>
      <c r="J354" s="10"/>
      <c r="K354" s="10"/>
      <c r="L354" s="62"/>
      <c r="M354" s="86"/>
      <c r="N354" s="86"/>
      <c r="O354" s="86"/>
      <c r="P354" s="86"/>
      <c r="Q354" s="86"/>
      <c r="R354" s="435"/>
      <c r="S354" s="62"/>
      <c r="T354" s="62"/>
      <c r="V354" s="52">
        <f t="shared" si="65"/>
        <v>0</v>
      </c>
      <c r="AI354" s="52"/>
    </row>
    <row r="355" spans="1:35" ht="12">
      <c r="A355" s="83"/>
      <c r="B355" s="83"/>
      <c r="C355" s="80" t="s">
        <v>366</v>
      </c>
      <c r="D355" s="80"/>
      <c r="E355" s="85"/>
      <c r="F355" s="112"/>
      <c r="G355" s="82" t="s">
        <v>597</v>
      </c>
      <c r="H355" s="399"/>
      <c r="I355" s="399"/>
      <c r="J355" s="399"/>
      <c r="K355" s="421"/>
      <c r="L355" s="386"/>
      <c r="M355" s="86"/>
      <c r="N355" s="86"/>
      <c r="O355" s="86"/>
      <c r="P355" s="86"/>
      <c r="Q355" s="86"/>
      <c r="R355" s="435"/>
      <c r="S355" s="52"/>
      <c r="T355" s="52"/>
      <c r="V355" s="52">
        <f t="shared" si="65"/>
        <v>0</v>
      </c>
      <c r="AI355" s="52"/>
    </row>
    <row r="356" spans="1:35" ht="12">
      <c r="A356" s="83"/>
      <c r="B356" s="83"/>
      <c r="C356" s="80"/>
      <c r="D356" s="80">
        <v>620</v>
      </c>
      <c r="E356" s="85"/>
      <c r="F356" s="112"/>
      <c r="G356" s="82" t="s">
        <v>697</v>
      </c>
      <c r="H356" s="399"/>
      <c r="I356" s="399"/>
      <c r="J356" s="399"/>
      <c r="K356" s="421"/>
      <c r="L356" s="386"/>
      <c r="M356" s="86"/>
      <c r="N356" s="86"/>
      <c r="O356" s="86"/>
      <c r="P356" s="86"/>
      <c r="Q356" s="86"/>
      <c r="R356" s="435"/>
      <c r="S356" s="52"/>
      <c r="T356" s="52"/>
      <c r="V356" s="52">
        <f t="shared" si="65"/>
        <v>0</v>
      </c>
      <c r="AI356" s="52"/>
    </row>
    <row r="357" spans="1:35" ht="12">
      <c r="A357" s="80">
        <f>+A353+1</f>
        <v>80</v>
      </c>
      <c r="B357" s="80"/>
      <c r="C357" s="80"/>
      <c r="D357" s="88"/>
      <c r="E357" s="85">
        <v>5114</v>
      </c>
      <c r="F357" s="112"/>
      <c r="G357" s="83" t="s">
        <v>598</v>
      </c>
      <c r="H357" s="399">
        <v>2900000</v>
      </c>
      <c r="I357" s="399"/>
      <c r="J357" s="399">
        <f>1000000+1000000</f>
        <v>2000000</v>
      </c>
      <c r="K357" s="421"/>
      <c r="L357" s="386">
        <f>+H357+I357+J357+K357</f>
        <v>4900000</v>
      </c>
      <c r="M357" s="86">
        <v>0</v>
      </c>
      <c r="N357" s="86"/>
      <c r="O357" s="86"/>
      <c r="P357" s="86"/>
      <c r="Q357" s="86">
        <v>0</v>
      </c>
      <c r="R357" s="435">
        <f>+M357/H357*100</f>
        <v>0</v>
      </c>
      <c r="S357" s="52"/>
      <c r="T357" s="52"/>
      <c r="V357" s="52">
        <f t="shared" si="65"/>
        <v>2900000</v>
      </c>
      <c r="AI357" s="52"/>
    </row>
    <row r="358" spans="1:35" ht="12">
      <c r="A358" s="80" t="s">
        <v>376</v>
      </c>
      <c r="B358" s="80"/>
      <c r="C358" s="80"/>
      <c r="D358" s="88"/>
      <c r="E358" s="85">
        <v>500</v>
      </c>
      <c r="F358" s="112"/>
      <c r="G358" s="83" t="s">
        <v>563</v>
      </c>
      <c r="H358" s="399">
        <v>0</v>
      </c>
      <c r="I358" s="399"/>
      <c r="J358" s="399"/>
      <c r="K358" s="421">
        <f>26000000+42500000</f>
        <v>68500000</v>
      </c>
      <c r="L358" s="386">
        <f>+H358+I358+J358+K358</f>
        <v>68500000</v>
      </c>
      <c r="M358" s="86">
        <v>0</v>
      </c>
      <c r="N358" s="86"/>
      <c r="O358" s="86"/>
      <c r="P358" s="86">
        <v>25345977.25</v>
      </c>
      <c r="Q358" s="86">
        <v>0</v>
      </c>
      <c r="R358" s="435">
        <v>0</v>
      </c>
      <c r="S358" s="52"/>
      <c r="T358" s="52"/>
      <c r="V358" s="52">
        <f t="shared" si="65"/>
        <v>0</v>
      </c>
      <c r="AI358" s="52"/>
    </row>
    <row r="359" spans="1:35" ht="12">
      <c r="A359" s="80">
        <f>+A357+1</f>
        <v>81</v>
      </c>
      <c r="B359" s="80"/>
      <c r="C359" s="80"/>
      <c r="D359" s="88"/>
      <c r="E359" s="85">
        <v>541</v>
      </c>
      <c r="F359" s="112"/>
      <c r="G359" s="83" t="s">
        <v>573</v>
      </c>
      <c r="H359" s="399">
        <v>4000000</v>
      </c>
      <c r="I359" s="399"/>
      <c r="J359" s="399"/>
      <c r="K359" s="421"/>
      <c r="L359" s="386">
        <f>+H359+I359+J359+K359</f>
        <v>4000000</v>
      </c>
      <c r="M359" s="86">
        <v>1337721</v>
      </c>
      <c r="N359" s="86"/>
      <c r="O359" s="86"/>
      <c r="P359" s="86"/>
      <c r="Q359" s="86">
        <v>0</v>
      </c>
      <c r="R359" s="435">
        <f>+M359/H359*100</f>
        <v>33.443025</v>
      </c>
      <c r="S359" s="52"/>
      <c r="T359" s="52"/>
      <c r="V359" s="52">
        <f t="shared" si="65"/>
        <v>2662279</v>
      </c>
      <c r="AI359" s="52"/>
    </row>
    <row r="360" spans="1:35" ht="12">
      <c r="A360" s="80">
        <f>+A359+1</f>
        <v>82</v>
      </c>
      <c r="B360" s="80"/>
      <c r="C360" s="80"/>
      <c r="D360" s="88"/>
      <c r="E360" s="85">
        <v>511</v>
      </c>
      <c r="F360" s="112"/>
      <c r="G360" s="83" t="s">
        <v>534</v>
      </c>
      <c r="H360" s="399">
        <v>0</v>
      </c>
      <c r="I360" s="399"/>
      <c r="J360" s="399"/>
      <c r="K360" s="421"/>
      <c r="L360" s="386">
        <f>+H360+I360+J360+K360</f>
        <v>0</v>
      </c>
      <c r="M360" s="86"/>
      <c r="N360" s="86"/>
      <c r="O360" s="86"/>
      <c r="P360" s="86"/>
      <c r="Q360" s="86">
        <v>0</v>
      </c>
      <c r="R360" s="436"/>
      <c r="S360" s="52"/>
      <c r="T360" s="52"/>
      <c r="V360" s="52">
        <f t="shared" si="65"/>
        <v>0</v>
      </c>
      <c r="AI360" s="52"/>
    </row>
    <row r="361" spans="1:35" s="71" customFormat="1" ht="12">
      <c r="A361" s="33"/>
      <c r="B361" s="33"/>
      <c r="C361" s="33"/>
      <c r="D361" s="33"/>
      <c r="E361" s="20"/>
      <c r="F361" s="115"/>
      <c r="G361" s="9"/>
      <c r="H361" s="10"/>
      <c r="I361" s="10"/>
      <c r="J361" s="10"/>
      <c r="K361" s="10"/>
      <c r="L361" s="62"/>
      <c r="M361" s="62"/>
      <c r="N361" s="62"/>
      <c r="O361" s="62"/>
      <c r="P361" s="62"/>
      <c r="Q361" s="62"/>
      <c r="R361" s="441"/>
      <c r="S361" s="62"/>
      <c r="T361" s="62"/>
      <c r="V361" s="52">
        <f t="shared" si="65"/>
        <v>0</v>
      </c>
      <c r="AI361" s="52"/>
    </row>
    <row r="362" spans="1:35" s="71" customFormat="1" ht="12">
      <c r="A362" s="83"/>
      <c r="B362" s="83"/>
      <c r="C362" s="80" t="s">
        <v>367</v>
      </c>
      <c r="D362" s="80"/>
      <c r="E362" s="85"/>
      <c r="F362" s="112"/>
      <c r="G362" s="82" t="s">
        <v>788</v>
      </c>
      <c r="H362" s="399"/>
      <c r="I362" s="399"/>
      <c r="J362" s="399"/>
      <c r="K362" s="421"/>
      <c r="L362" s="386"/>
      <c r="M362" s="86"/>
      <c r="N362" s="86"/>
      <c r="O362" s="86"/>
      <c r="P362" s="86"/>
      <c r="Q362" s="86"/>
      <c r="R362" s="437"/>
      <c r="S362" s="62"/>
      <c r="T362" s="62"/>
      <c r="V362" s="52">
        <f t="shared" si="65"/>
        <v>0</v>
      </c>
      <c r="AI362" s="52"/>
    </row>
    <row r="363" spans="1:35" s="71" customFormat="1" ht="12">
      <c r="A363" s="129"/>
      <c r="B363" s="129"/>
      <c r="C363" s="126"/>
      <c r="D363" s="126">
        <v>160</v>
      </c>
      <c r="E363" s="127"/>
      <c r="F363" s="152"/>
      <c r="G363" s="82" t="s">
        <v>786</v>
      </c>
      <c r="H363" s="414"/>
      <c r="I363" s="414"/>
      <c r="J363" s="414"/>
      <c r="K363" s="416"/>
      <c r="L363" s="387"/>
      <c r="M363" s="130"/>
      <c r="N363" s="130"/>
      <c r="O363" s="130"/>
      <c r="P363" s="130"/>
      <c r="Q363" s="130"/>
      <c r="R363" s="436"/>
      <c r="S363" s="62"/>
      <c r="T363" s="62"/>
      <c r="V363" s="52">
        <f t="shared" si="65"/>
        <v>0</v>
      </c>
      <c r="AI363" s="52"/>
    </row>
    <row r="364" spans="1:35" s="71" customFormat="1" ht="12">
      <c r="A364" s="136" t="s">
        <v>368</v>
      </c>
      <c r="B364" s="126"/>
      <c r="C364" s="24"/>
      <c r="D364" s="446"/>
      <c r="E364" s="38">
        <v>484</v>
      </c>
      <c r="F364" s="152"/>
      <c r="G364" s="34" t="s">
        <v>789</v>
      </c>
      <c r="H364" s="414">
        <f>5150000+S364</f>
        <v>5525000</v>
      </c>
      <c r="I364" s="415"/>
      <c r="J364" s="414">
        <f>2850000+1673300.46</f>
        <v>4523300.46</v>
      </c>
      <c r="K364" s="415"/>
      <c r="L364" s="130">
        <f>+H364+I364+J364+K364</f>
        <v>10048300.46</v>
      </c>
      <c r="M364" s="130">
        <v>5434810.48</v>
      </c>
      <c r="N364" s="130"/>
      <c r="O364" s="61">
        <f>2848798.42+1658905</f>
        <v>4507703.42</v>
      </c>
      <c r="P364" s="130"/>
      <c r="Q364" s="61">
        <v>0</v>
      </c>
      <c r="R364" s="436">
        <f>+M364/H364*100</f>
        <v>98.36761049773757</v>
      </c>
      <c r="S364" s="62">
        <f>300000+75000</f>
        <v>375000</v>
      </c>
      <c r="T364" s="62"/>
      <c r="V364" s="52">
        <f t="shared" si="65"/>
        <v>90189.51999999955</v>
      </c>
      <c r="AI364" s="52"/>
    </row>
    <row r="365" spans="1:35" s="71" customFormat="1" ht="12">
      <c r="A365" s="137"/>
      <c r="B365" s="131"/>
      <c r="C365" s="25"/>
      <c r="D365" s="159"/>
      <c r="E365" s="23"/>
      <c r="F365" s="447"/>
      <c r="G365" s="22" t="s">
        <v>677</v>
      </c>
      <c r="H365" s="417"/>
      <c r="I365" s="407"/>
      <c r="J365" s="417"/>
      <c r="K365" s="407"/>
      <c r="L365" s="135"/>
      <c r="M365" s="135"/>
      <c r="N365" s="135"/>
      <c r="O365" s="53"/>
      <c r="P365" s="135"/>
      <c r="Q365" s="53"/>
      <c r="R365" s="437"/>
      <c r="S365" s="62"/>
      <c r="T365" s="62"/>
      <c r="V365" s="52">
        <f t="shared" si="65"/>
        <v>0</v>
      </c>
      <c r="AI365" s="52"/>
    </row>
    <row r="366" spans="1:35" ht="12">
      <c r="A366" s="40"/>
      <c r="B366" s="40"/>
      <c r="C366" s="40"/>
      <c r="D366" s="40"/>
      <c r="E366" s="19"/>
      <c r="F366" s="123"/>
      <c r="G366" s="19" t="s">
        <v>625</v>
      </c>
      <c r="H366" s="510">
        <f>SUM(H337:H365)</f>
        <v>46731354</v>
      </c>
      <c r="I366" s="510">
        <f>SUM(I337:I360)</f>
        <v>0</v>
      </c>
      <c r="J366" s="510">
        <f>SUM(J337:J365)</f>
        <v>6523300.46</v>
      </c>
      <c r="K366" s="510">
        <f>SUM(K337:K365)</f>
        <v>72634661</v>
      </c>
      <c r="L366" s="510">
        <f>SUM(L337:L365)</f>
        <v>125889315.46000001</v>
      </c>
      <c r="M366" s="510">
        <f>SUM(M337:M365)</f>
        <v>25743222.680000003</v>
      </c>
      <c r="N366" s="510"/>
      <c r="O366" s="510">
        <f>SUM(O337:O365)</f>
        <v>4507703.42</v>
      </c>
      <c r="P366" s="510">
        <f>SUM(P337:P360)</f>
        <v>29301266.91</v>
      </c>
      <c r="Q366" s="510">
        <f>SUM(Q337:Q360)</f>
        <v>3479417.27</v>
      </c>
      <c r="R366" s="511">
        <f>+M366/H366*100</f>
        <v>55.08768840723084</v>
      </c>
      <c r="S366" s="52"/>
      <c r="T366" s="52"/>
      <c r="V366" s="52">
        <f t="shared" si="65"/>
        <v>17508714.049999997</v>
      </c>
      <c r="AB366" s="52"/>
      <c r="AI366" s="52"/>
    </row>
    <row r="367" spans="1:35" ht="12">
      <c r="A367" s="136"/>
      <c r="B367" s="24"/>
      <c r="C367" s="24"/>
      <c r="D367" s="34"/>
      <c r="E367" s="38"/>
      <c r="F367" s="114"/>
      <c r="G367" s="39" t="s">
        <v>687</v>
      </c>
      <c r="H367" s="415"/>
      <c r="I367" s="18"/>
      <c r="J367" s="18"/>
      <c r="K367" s="18"/>
      <c r="L367" s="61"/>
      <c r="M367" s="61"/>
      <c r="N367" s="61"/>
      <c r="O367" s="61"/>
      <c r="P367" s="61"/>
      <c r="Q367" s="61"/>
      <c r="R367" s="438"/>
      <c r="S367" s="52"/>
      <c r="T367" s="52"/>
      <c r="V367" s="52">
        <f t="shared" si="65"/>
        <v>0</v>
      </c>
      <c r="AI367" s="52"/>
    </row>
    <row r="368" spans="1:35" ht="12">
      <c r="A368" s="141"/>
      <c r="B368" s="33"/>
      <c r="C368" s="33"/>
      <c r="D368" s="9"/>
      <c r="E368" s="20"/>
      <c r="F368" s="17" t="s">
        <v>73</v>
      </c>
      <c r="G368" s="20" t="s">
        <v>674</v>
      </c>
      <c r="H368" s="10">
        <f>+H337+H364</f>
        <v>9525000</v>
      </c>
      <c r="I368" s="6"/>
      <c r="J368" s="6"/>
      <c r="K368" s="6"/>
      <c r="L368" s="71"/>
      <c r="M368" s="62">
        <f>+M337+M364</f>
        <v>8606590.48</v>
      </c>
      <c r="N368" s="62"/>
      <c r="O368" s="62"/>
      <c r="P368" s="62"/>
      <c r="Q368" s="62"/>
      <c r="R368" s="439"/>
      <c r="S368" s="52"/>
      <c r="T368" s="52"/>
      <c r="V368" s="52">
        <f t="shared" si="65"/>
        <v>918409.5199999996</v>
      </c>
      <c r="AC368" s="52"/>
      <c r="AD368" s="52"/>
      <c r="AI368" s="52"/>
    </row>
    <row r="369" spans="1:35" ht="12">
      <c r="A369" s="141"/>
      <c r="B369" s="33"/>
      <c r="C369" s="33"/>
      <c r="D369" s="9"/>
      <c r="E369" s="20"/>
      <c r="F369" s="17" t="s">
        <v>385</v>
      </c>
      <c r="G369" s="20" t="s">
        <v>761</v>
      </c>
      <c r="H369" s="10"/>
      <c r="I369" s="6"/>
      <c r="J369" s="6">
        <f>+J364-2850000</f>
        <v>1673300.46</v>
      </c>
      <c r="K369" s="6"/>
      <c r="L369" s="71"/>
      <c r="M369" s="62"/>
      <c r="N369" s="62"/>
      <c r="O369" s="62">
        <f>+O364-2848798.42</f>
        <v>1658905</v>
      </c>
      <c r="P369" s="62"/>
      <c r="Q369" s="62"/>
      <c r="R369" s="439"/>
      <c r="S369" s="52"/>
      <c r="T369" s="52"/>
      <c r="V369" s="52">
        <f t="shared" si="65"/>
        <v>0</v>
      </c>
      <c r="AI369" s="52"/>
    </row>
    <row r="370" spans="1:35" ht="12">
      <c r="A370" s="141"/>
      <c r="B370" s="33"/>
      <c r="C370" s="33"/>
      <c r="D370" s="9"/>
      <c r="E370" s="20"/>
      <c r="F370" s="17" t="s">
        <v>413</v>
      </c>
      <c r="G370" s="20" t="s">
        <v>767</v>
      </c>
      <c r="H370" s="10"/>
      <c r="I370" s="6"/>
      <c r="J370" s="6">
        <f>+J364-1673300.46</f>
        <v>2850000</v>
      </c>
      <c r="K370" s="6"/>
      <c r="L370" s="71"/>
      <c r="M370" s="62"/>
      <c r="N370" s="62"/>
      <c r="O370" s="62">
        <f>+O364-1658905</f>
        <v>2848798.42</v>
      </c>
      <c r="P370" s="62"/>
      <c r="Q370" s="62"/>
      <c r="R370" s="439"/>
      <c r="S370" s="52"/>
      <c r="T370" s="52"/>
      <c r="V370" s="52">
        <f t="shared" si="65"/>
        <v>0</v>
      </c>
      <c r="AI370" s="52"/>
    </row>
    <row r="371" spans="1:35" ht="12">
      <c r="A371" s="141"/>
      <c r="B371" s="33"/>
      <c r="C371" s="33"/>
      <c r="D371" s="9"/>
      <c r="E371" s="20"/>
      <c r="F371" s="17"/>
      <c r="G371" s="1" t="s">
        <v>688</v>
      </c>
      <c r="H371" s="10"/>
      <c r="I371" s="6"/>
      <c r="J371" s="6"/>
      <c r="K371" s="6"/>
      <c r="L371" s="62">
        <f>+H368+J370+J369</f>
        <v>14048300.46</v>
      </c>
      <c r="M371" s="62"/>
      <c r="N371" s="62"/>
      <c r="O371" s="62"/>
      <c r="P371" s="62"/>
      <c r="Q371" s="62"/>
      <c r="R371" s="439"/>
      <c r="S371" s="52"/>
      <c r="T371" s="52"/>
      <c r="V371" s="52">
        <f t="shared" si="65"/>
        <v>0</v>
      </c>
      <c r="AI371" s="52"/>
    </row>
    <row r="372" spans="1:35" ht="12">
      <c r="A372" s="141"/>
      <c r="B372" s="33"/>
      <c r="C372" s="33"/>
      <c r="D372" s="9"/>
      <c r="E372" s="20"/>
      <c r="F372" s="17"/>
      <c r="G372" s="1" t="s">
        <v>707</v>
      </c>
      <c r="H372" s="10"/>
      <c r="I372" s="6"/>
      <c r="J372" s="6"/>
      <c r="K372" s="6"/>
      <c r="L372" s="62"/>
      <c r="M372" s="62"/>
      <c r="N372" s="62"/>
      <c r="O372" s="62"/>
      <c r="P372" s="62"/>
      <c r="Q372" s="62"/>
      <c r="R372" s="439"/>
      <c r="S372" s="52"/>
      <c r="T372" s="52"/>
      <c r="V372" s="52">
        <f t="shared" si="65"/>
        <v>0</v>
      </c>
      <c r="AI372" s="52"/>
    </row>
    <row r="373" spans="1:35" ht="12">
      <c r="A373" s="141"/>
      <c r="B373" s="33"/>
      <c r="C373" s="33"/>
      <c r="D373" s="9"/>
      <c r="E373" s="20"/>
      <c r="F373" s="17" t="s">
        <v>73</v>
      </c>
      <c r="G373" s="20" t="s">
        <v>674</v>
      </c>
      <c r="H373" s="10">
        <f>+H353+H357+H359+H360+H358</f>
        <v>29206354</v>
      </c>
      <c r="I373" s="6"/>
      <c r="J373" s="6"/>
      <c r="K373" s="6"/>
      <c r="L373" s="71"/>
      <c r="M373" s="62">
        <f>+M353+M357+M359+M360+M358</f>
        <v>10532807.600000001</v>
      </c>
      <c r="N373" s="62"/>
      <c r="O373" s="62"/>
      <c r="P373" s="62"/>
      <c r="Q373" s="62"/>
      <c r="R373" s="439"/>
      <c r="S373" s="52"/>
      <c r="T373" s="52"/>
      <c r="V373" s="52">
        <f t="shared" si="65"/>
        <v>18673546.4</v>
      </c>
      <c r="AI373" s="52"/>
    </row>
    <row r="374" spans="1:35" ht="12">
      <c r="A374" s="141"/>
      <c r="B374" s="33"/>
      <c r="C374" s="33"/>
      <c r="D374" s="9"/>
      <c r="E374" s="20"/>
      <c r="F374" s="17" t="s">
        <v>58</v>
      </c>
      <c r="G374" s="20" t="s">
        <v>678</v>
      </c>
      <c r="H374" s="10"/>
      <c r="I374" s="6"/>
      <c r="J374" s="6"/>
      <c r="K374" s="6">
        <f>K353+K358</f>
        <v>72634661</v>
      </c>
      <c r="L374" s="62"/>
      <c r="M374" s="62"/>
      <c r="N374" s="62"/>
      <c r="O374" s="62"/>
      <c r="P374" s="62">
        <f>+P366</f>
        <v>29301266.91</v>
      </c>
      <c r="Q374" s="62"/>
      <c r="R374" s="439"/>
      <c r="S374" s="52"/>
      <c r="T374" s="52"/>
      <c r="V374" s="52">
        <f t="shared" si="65"/>
        <v>0</v>
      </c>
      <c r="AI374" s="52"/>
    </row>
    <row r="375" spans="1:35" ht="12">
      <c r="A375" s="141"/>
      <c r="B375" s="33"/>
      <c r="C375" s="33"/>
      <c r="D375" s="9"/>
      <c r="E375" s="20"/>
      <c r="F375" s="17" t="s">
        <v>413</v>
      </c>
      <c r="G375" s="20" t="s">
        <v>767</v>
      </c>
      <c r="H375" s="10"/>
      <c r="I375" s="6"/>
      <c r="J375" s="6">
        <f>+J357</f>
        <v>2000000</v>
      </c>
      <c r="K375" s="6"/>
      <c r="L375" s="62"/>
      <c r="M375" s="62"/>
      <c r="N375" s="62"/>
      <c r="O375" s="62">
        <f>+O357</f>
        <v>0</v>
      </c>
      <c r="P375" s="62"/>
      <c r="Q375" s="62"/>
      <c r="R375" s="439"/>
      <c r="S375" s="52"/>
      <c r="T375" s="52"/>
      <c r="V375" s="52">
        <f t="shared" si="65"/>
        <v>0</v>
      </c>
      <c r="AI375" s="52"/>
    </row>
    <row r="376" spans="1:35" ht="12">
      <c r="A376" s="141"/>
      <c r="B376" s="33"/>
      <c r="C376" s="33"/>
      <c r="D376" s="9"/>
      <c r="E376" s="20"/>
      <c r="F376" s="17"/>
      <c r="G376" s="1" t="s">
        <v>708</v>
      </c>
      <c r="H376" s="10"/>
      <c r="I376" s="6"/>
      <c r="J376" s="6"/>
      <c r="K376" s="6"/>
      <c r="L376" s="62">
        <f>+H373+J375+K374</f>
        <v>103841015</v>
      </c>
      <c r="M376" s="62"/>
      <c r="N376" s="62"/>
      <c r="O376" s="62"/>
      <c r="P376" s="62"/>
      <c r="Q376" s="62"/>
      <c r="R376" s="439"/>
      <c r="S376" s="52"/>
      <c r="T376" s="52"/>
      <c r="V376" s="52">
        <f t="shared" si="65"/>
        <v>0</v>
      </c>
      <c r="AI376" s="52"/>
    </row>
    <row r="377" spans="1:35" ht="12">
      <c r="A377" s="141"/>
      <c r="B377" s="33"/>
      <c r="C377" s="33"/>
      <c r="D377" s="9"/>
      <c r="E377" s="20"/>
      <c r="F377" s="17"/>
      <c r="G377" s="1" t="s">
        <v>713</v>
      </c>
      <c r="H377" s="10"/>
      <c r="I377" s="6"/>
      <c r="J377" s="6"/>
      <c r="K377" s="6"/>
      <c r="L377" s="71"/>
      <c r="M377" s="62"/>
      <c r="N377" s="62"/>
      <c r="O377" s="62"/>
      <c r="P377" s="62"/>
      <c r="Q377" s="62"/>
      <c r="R377" s="439"/>
      <c r="S377" s="52"/>
      <c r="T377" s="52"/>
      <c r="V377" s="52">
        <f t="shared" si="65"/>
        <v>0</v>
      </c>
      <c r="AI377" s="52"/>
    </row>
    <row r="378" spans="1:35" ht="12">
      <c r="A378" s="141"/>
      <c r="B378" s="33"/>
      <c r="C378" s="33"/>
      <c r="D378" s="9"/>
      <c r="E378" s="20"/>
      <c r="F378" s="17" t="s">
        <v>73</v>
      </c>
      <c r="G378" s="20" t="s">
        <v>674</v>
      </c>
      <c r="H378" s="10">
        <f>+H341</f>
        <v>500000</v>
      </c>
      <c r="I378" s="6"/>
      <c r="J378" s="6"/>
      <c r="K378" s="6"/>
      <c r="L378" s="71"/>
      <c r="M378" s="62">
        <f>+M341</f>
        <v>390000</v>
      </c>
      <c r="N378" s="62"/>
      <c r="O378" s="62"/>
      <c r="P378" s="62"/>
      <c r="Q378" s="62"/>
      <c r="R378" s="439"/>
      <c r="S378" s="52"/>
      <c r="T378" s="52"/>
      <c r="V378" s="52">
        <f t="shared" si="65"/>
        <v>110000</v>
      </c>
      <c r="AI378" s="52"/>
    </row>
    <row r="379" spans="1:35" ht="12">
      <c r="A379" s="141"/>
      <c r="B379" s="33"/>
      <c r="C379" s="33"/>
      <c r="D379" s="9"/>
      <c r="E379" s="20"/>
      <c r="F379" s="115"/>
      <c r="G379" s="1" t="s">
        <v>714</v>
      </c>
      <c r="H379" s="10"/>
      <c r="I379" s="6"/>
      <c r="J379" s="6"/>
      <c r="K379" s="6"/>
      <c r="L379" s="62">
        <f>+H378+I378+J378</f>
        <v>500000</v>
      </c>
      <c r="M379" s="62"/>
      <c r="N379" s="62"/>
      <c r="O379" s="62"/>
      <c r="P379" s="62"/>
      <c r="Q379" s="62"/>
      <c r="R379" s="439"/>
      <c r="S379" s="52"/>
      <c r="T379" s="52"/>
      <c r="V379" s="52">
        <f t="shared" si="65"/>
        <v>0</v>
      </c>
      <c r="AI379" s="52"/>
    </row>
    <row r="380" spans="1:35" ht="12">
      <c r="A380" s="141"/>
      <c r="B380" s="33"/>
      <c r="C380" s="33"/>
      <c r="D380" s="9"/>
      <c r="E380" s="20"/>
      <c r="F380" s="115"/>
      <c r="G380" s="1" t="s">
        <v>727</v>
      </c>
      <c r="H380" s="10"/>
      <c r="I380" s="6"/>
      <c r="J380" s="6"/>
      <c r="K380" s="6"/>
      <c r="L380" s="62"/>
      <c r="M380" s="62"/>
      <c r="N380" s="62"/>
      <c r="O380" s="62"/>
      <c r="P380" s="62"/>
      <c r="Q380" s="62"/>
      <c r="R380" s="439"/>
      <c r="S380" s="52"/>
      <c r="T380" s="52"/>
      <c r="V380" s="52">
        <f t="shared" si="65"/>
        <v>0</v>
      </c>
      <c r="AI380" s="52"/>
    </row>
    <row r="381" spans="1:35" ht="12">
      <c r="A381" s="141"/>
      <c r="B381" s="33"/>
      <c r="C381" s="33"/>
      <c r="D381" s="9"/>
      <c r="E381" s="20"/>
      <c r="F381" s="17" t="s">
        <v>73</v>
      </c>
      <c r="G381" s="20" t="s">
        <v>674</v>
      </c>
      <c r="H381" s="10">
        <f>+H345</f>
        <v>1000000</v>
      </c>
      <c r="I381" s="6"/>
      <c r="J381" s="6"/>
      <c r="K381" s="6"/>
      <c r="L381" s="71"/>
      <c r="M381" s="62">
        <f>+M345</f>
        <v>880000</v>
      </c>
      <c r="N381" s="62"/>
      <c r="O381" s="62"/>
      <c r="P381" s="62"/>
      <c r="Q381" s="62"/>
      <c r="R381" s="439"/>
      <c r="S381" s="52"/>
      <c r="T381" s="52"/>
      <c r="V381" s="52">
        <f t="shared" si="65"/>
        <v>120000</v>
      </c>
      <c r="AI381" s="52"/>
    </row>
    <row r="382" spans="1:35" ht="12">
      <c r="A382" s="141"/>
      <c r="B382" s="33"/>
      <c r="C382" s="33"/>
      <c r="D382" s="9"/>
      <c r="E382" s="20"/>
      <c r="F382" s="115"/>
      <c r="G382" s="1" t="s">
        <v>728</v>
      </c>
      <c r="H382" s="10"/>
      <c r="I382" s="6"/>
      <c r="J382" s="6"/>
      <c r="K382" s="6"/>
      <c r="L382" s="62">
        <f>+H381+I381+J381</f>
        <v>1000000</v>
      </c>
      <c r="M382" s="62"/>
      <c r="N382" s="62"/>
      <c r="O382" s="62"/>
      <c r="P382" s="62"/>
      <c r="Q382" s="62"/>
      <c r="R382" s="439"/>
      <c r="S382" s="52"/>
      <c r="T382" s="52"/>
      <c r="V382" s="52">
        <f t="shared" si="65"/>
        <v>0</v>
      </c>
      <c r="AI382" s="52"/>
    </row>
    <row r="383" spans="1:35" ht="12">
      <c r="A383" s="141"/>
      <c r="B383" s="33"/>
      <c r="C383" s="33"/>
      <c r="D383" s="9"/>
      <c r="E383" s="20"/>
      <c r="F383" s="115"/>
      <c r="G383" s="1" t="s">
        <v>729</v>
      </c>
      <c r="H383" s="10"/>
      <c r="I383" s="6"/>
      <c r="J383" s="6"/>
      <c r="K383" s="6"/>
      <c r="L383" s="62"/>
      <c r="M383" s="62"/>
      <c r="N383" s="62"/>
      <c r="O383" s="62"/>
      <c r="P383" s="62"/>
      <c r="Q383" s="62"/>
      <c r="R383" s="439"/>
      <c r="S383" s="52"/>
      <c r="T383" s="52"/>
      <c r="V383" s="52">
        <f t="shared" si="65"/>
        <v>0</v>
      </c>
      <c r="AI383" s="52"/>
    </row>
    <row r="384" spans="1:35" ht="12">
      <c r="A384" s="141"/>
      <c r="B384" s="33"/>
      <c r="C384" s="33"/>
      <c r="D384" s="9"/>
      <c r="E384" s="20"/>
      <c r="F384" s="17" t="s">
        <v>73</v>
      </c>
      <c r="G384" s="20" t="s">
        <v>674</v>
      </c>
      <c r="H384" s="10">
        <f>+H349</f>
        <v>6500000</v>
      </c>
      <c r="I384" s="6"/>
      <c r="J384" s="6"/>
      <c r="K384" s="6"/>
      <c r="L384" s="71"/>
      <c r="M384" s="62">
        <f>+M349</f>
        <v>5333824.6</v>
      </c>
      <c r="N384" s="62"/>
      <c r="O384" s="62"/>
      <c r="P384" s="62"/>
      <c r="Q384" s="62"/>
      <c r="R384" s="439"/>
      <c r="S384" s="52"/>
      <c r="T384" s="52"/>
      <c r="V384" s="52">
        <f t="shared" si="65"/>
        <v>1166175.4000000004</v>
      </c>
      <c r="AI384" s="52"/>
    </row>
    <row r="385" spans="1:35" ht="12">
      <c r="A385" s="141"/>
      <c r="B385" s="33"/>
      <c r="C385" s="33"/>
      <c r="D385" s="9"/>
      <c r="E385" s="20"/>
      <c r="F385" s="115"/>
      <c r="G385" s="1" t="s">
        <v>730</v>
      </c>
      <c r="H385" s="10"/>
      <c r="I385" s="6"/>
      <c r="J385" s="6"/>
      <c r="K385" s="6"/>
      <c r="L385" s="62">
        <f>+H384+I384+J384</f>
        <v>6500000</v>
      </c>
      <c r="M385" s="62"/>
      <c r="N385" s="62"/>
      <c r="O385" s="62"/>
      <c r="P385" s="62"/>
      <c r="Q385" s="62"/>
      <c r="R385" s="439"/>
      <c r="S385" s="52"/>
      <c r="T385" s="52"/>
      <c r="V385" s="52">
        <f t="shared" si="65"/>
        <v>0</v>
      </c>
      <c r="AI385" s="52"/>
    </row>
    <row r="386" spans="1:35" ht="12">
      <c r="A386" s="141"/>
      <c r="B386" s="33"/>
      <c r="C386" s="33"/>
      <c r="D386" s="9"/>
      <c r="E386" s="20"/>
      <c r="F386" s="115"/>
      <c r="G386" s="1" t="s">
        <v>661</v>
      </c>
      <c r="H386" s="10"/>
      <c r="I386" s="6"/>
      <c r="J386" s="6"/>
      <c r="K386" s="6"/>
      <c r="L386" s="62"/>
      <c r="M386" s="62"/>
      <c r="N386" s="62"/>
      <c r="O386" s="62"/>
      <c r="P386" s="62"/>
      <c r="Q386" s="62"/>
      <c r="R386" s="439"/>
      <c r="S386" s="52"/>
      <c r="T386" s="52"/>
      <c r="V386" s="52">
        <f t="shared" si="65"/>
        <v>0</v>
      </c>
      <c r="AI386" s="52"/>
    </row>
    <row r="387" spans="1:35" ht="12">
      <c r="A387" s="141"/>
      <c r="B387" s="33"/>
      <c r="C387" s="33"/>
      <c r="D387" s="9"/>
      <c r="E387" s="20"/>
      <c r="F387" s="17" t="s">
        <v>73</v>
      </c>
      <c r="G387" s="20" t="s">
        <v>674</v>
      </c>
      <c r="H387" s="10">
        <f>SUM(H368:H386)</f>
        <v>46731354</v>
      </c>
      <c r="I387" s="6"/>
      <c r="J387" s="6"/>
      <c r="K387" s="6"/>
      <c r="L387" s="62"/>
      <c r="M387" s="62">
        <f>SUM(M368:M386)</f>
        <v>25743222.68</v>
      </c>
      <c r="N387" s="62"/>
      <c r="O387" s="62"/>
      <c r="P387" s="62"/>
      <c r="Q387" s="62"/>
      <c r="R387" s="439"/>
      <c r="S387" s="52"/>
      <c r="T387" s="52"/>
      <c r="V387" s="52">
        <f t="shared" si="65"/>
        <v>20988131.32</v>
      </c>
      <c r="AI387" s="52"/>
    </row>
    <row r="388" spans="1:35" ht="12">
      <c r="A388" s="141"/>
      <c r="B388" s="33"/>
      <c r="C388" s="33"/>
      <c r="D388" s="9"/>
      <c r="E388" s="20"/>
      <c r="F388" s="17" t="s">
        <v>385</v>
      </c>
      <c r="G388" s="20" t="s">
        <v>761</v>
      </c>
      <c r="H388" s="10"/>
      <c r="I388" s="6"/>
      <c r="J388" s="6">
        <f>+J369</f>
        <v>1673300.46</v>
      </c>
      <c r="K388" s="6"/>
      <c r="L388" s="62"/>
      <c r="M388" s="62"/>
      <c r="N388" s="62"/>
      <c r="O388" s="62">
        <f>+O369</f>
        <v>1658905</v>
      </c>
      <c r="P388" s="62"/>
      <c r="Q388" s="62"/>
      <c r="R388" s="439"/>
      <c r="S388" s="52"/>
      <c r="T388" s="52"/>
      <c r="V388" s="52">
        <f t="shared" si="65"/>
        <v>0</v>
      </c>
      <c r="AI388" s="52"/>
    </row>
    <row r="389" spans="1:35" ht="12">
      <c r="A389" s="141"/>
      <c r="B389" s="33"/>
      <c r="C389" s="33"/>
      <c r="D389" s="9"/>
      <c r="E389" s="20"/>
      <c r="F389" s="17" t="s">
        <v>58</v>
      </c>
      <c r="G389" s="20" t="s">
        <v>678</v>
      </c>
      <c r="H389" s="10"/>
      <c r="I389" s="6"/>
      <c r="J389" s="6"/>
      <c r="K389" s="6">
        <f>+K353+K358</f>
        <v>72634661</v>
      </c>
      <c r="L389" s="62"/>
      <c r="M389" s="62"/>
      <c r="N389" s="62"/>
      <c r="O389" s="62"/>
      <c r="P389" s="62">
        <f>+SUM(P368:P388)</f>
        <v>29301266.91</v>
      </c>
      <c r="Q389" s="62"/>
      <c r="R389" s="439"/>
      <c r="S389" s="52"/>
      <c r="T389" s="52"/>
      <c r="V389" s="52">
        <f t="shared" si="65"/>
        <v>0</v>
      </c>
      <c r="AI389" s="52"/>
    </row>
    <row r="390" spans="1:35" ht="12">
      <c r="A390" s="141"/>
      <c r="B390" s="33"/>
      <c r="C390" s="33"/>
      <c r="D390" s="9"/>
      <c r="E390" s="20"/>
      <c r="F390" s="17" t="s">
        <v>413</v>
      </c>
      <c r="G390" s="20" t="s">
        <v>767</v>
      </c>
      <c r="H390" s="10"/>
      <c r="I390" s="6"/>
      <c r="J390" s="6">
        <f>+J375+J370</f>
        <v>4850000</v>
      </c>
      <c r="K390" s="6"/>
      <c r="L390" s="62"/>
      <c r="M390" s="62"/>
      <c r="N390" s="62"/>
      <c r="O390" s="62">
        <f>+O375+O370</f>
        <v>2848798.42</v>
      </c>
      <c r="P390" s="62"/>
      <c r="Q390" s="62"/>
      <c r="R390" s="439"/>
      <c r="S390" s="52"/>
      <c r="T390" s="52"/>
      <c r="V390" s="52">
        <f t="shared" si="65"/>
        <v>0</v>
      </c>
      <c r="AI390" s="52"/>
    </row>
    <row r="391" spans="1:35" ht="12">
      <c r="A391" s="137"/>
      <c r="B391" s="25"/>
      <c r="C391" s="25"/>
      <c r="D391" s="22"/>
      <c r="E391" s="23"/>
      <c r="F391" s="116"/>
      <c r="G391" s="90" t="s">
        <v>626</v>
      </c>
      <c r="H391" s="407"/>
      <c r="I391" s="426"/>
      <c r="J391" s="426"/>
      <c r="K391" s="426"/>
      <c r="L391" s="53">
        <f>+H387+K389+J389+J388+J390</f>
        <v>125889315.46</v>
      </c>
      <c r="M391" s="53"/>
      <c r="N391" s="53"/>
      <c r="O391" s="53"/>
      <c r="P391" s="53"/>
      <c r="Q391" s="53"/>
      <c r="R391" s="543">
        <f>+M387+O388+O390+P389</f>
        <v>59552193.010000005</v>
      </c>
      <c r="S391" s="52"/>
      <c r="T391" s="52"/>
      <c r="V391" s="52">
        <f t="shared" si="65"/>
        <v>0</v>
      </c>
      <c r="AI391" s="52"/>
    </row>
    <row r="392" spans="1:35" ht="12">
      <c r="A392" s="33"/>
      <c r="B392" s="33"/>
      <c r="C392" s="33"/>
      <c r="D392" s="8"/>
      <c r="E392" s="7"/>
      <c r="F392" s="121"/>
      <c r="G392" s="9"/>
      <c r="H392" s="30"/>
      <c r="I392" s="427"/>
      <c r="J392" s="427"/>
      <c r="K392" s="427"/>
      <c r="L392" s="52"/>
      <c r="M392" s="52"/>
      <c r="N392" s="52"/>
      <c r="O392" s="52"/>
      <c r="P392" s="52"/>
      <c r="Q392" s="52"/>
      <c r="S392" s="52"/>
      <c r="T392" s="52"/>
      <c r="V392" s="52">
        <f t="shared" si="65"/>
        <v>0</v>
      </c>
      <c r="AI392" s="52"/>
    </row>
    <row r="393" spans="1:35" ht="12">
      <c r="A393" s="80"/>
      <c r="B393" s="80"/>
      <c r="C393" s="80" t="s">
        <v>85</v>
      </c>
      <c r="D393" s="83"/>
      <c r="E393" s="85"/>
      <c r="F393" s="112"/>
      <c r="G393" s="94" t="s">
        <v>790</v>
      </c>
      <c r="H393" s="399"/>
      <c r="I393" s="420"/>
      <c r="J393" s="420"/>
      <c r="K393" s="420"/>
      <c r="L393" s="86"/>
      <c r="M393" s="86"/>
      <c r="N393" s="86"/>
      <c r="O393" s="86"/>
      <c r="P393" s="86"/>
      <c r="Q393" s="86"/>
      <c r="R393" s="435"/>
      <c r="S393" s="52"/>
      <c r="T393" s="52"/>
      <c r="V393" s="52">
        <f t="shared" si="65"/>
        <v>0</v>
      </c>
      <c r="AI393" s="52"/>
    </row>
    <row r="394" spans="1:35" ht="12">
      <c r="A394" s="80"/>
      <c r="B394" s="80"/>
      <c r="C394" s="80"/>
      <c r="D394" s="83"/>
      <c r="E394" s="85"/>
      <c r="F394" s="112"/>
      <c r="G394" s="83"/>
      <c r="H394" s="399"/>
      <c r="I394" s="420"/>
      <c r="J394" s="420"/>
      <c r="K394" s="420"/>
      <c r="L394" s="86"/>
      <c r="M394" s="86"/>
      <c r="N394" s="86"/>
      <c r="O394" s="86"/>
      <c r="P394" s="86"/>
      <c r="Q394" s="86"/>
      <c r="R394" s="435"/>
      <c r="S394" s="52"/>
      <c r="T394" s="52"/>
      <c r="V394" s="52">
        <f t="shared" si="65"/>
        <v>0</v>
      </c>
      <c r="AI394" s="52"/>
    </row>
    <row r="395" spans="1:35" ht="12">
      <c r="A395" s="80"/>
      <c r="B395" s="80"/>
      <c r="C395" s="80" t="s">
        <v>86</v>
      </c>
      <c r="D395" s="88"/>
      <c r="E395" s="85"/>
      <c r="F395" s="112"/>
      <c r="G395" s="82" t="s">
        <v>762</v>
      </c>
      <c r="H395" s="399"/>
      <c r="I395" s="399"/>
      <c r="J395" s="399"/>
      <c r="K395" s="399"/>
      <c r="L395" s="86"/>
      <c r="M395" s="86"/>
      <c r="N395" s="86"/>
      <c r="O395" s="86"/>
      <c r="P395" s="86"/>
      <c r="Q395" s="86"/>
      <c r="R395" s="435"/>
      <c r="S395" s="52"/>
      <c r="T395" s="52"/>
      <c r="V395" s="52">
        <f t="shared" si="65"/>
        <v>0</v>
      </c>
      <c r="AI395" s="52"/>
    </row>
    <row r="396" spans="1:35" ht="12">
      <c r="A396" s="80"/>
      <c r="B396" s="80"/>
      <c r="C396" s="80"/>
      <c r="D396" s="89">
        <v>160</v>
      </c>
      <c r="E396" s="85"/>
      <c r="F396" s="112"/>
      <c r="G396" s="82" t="s">
        <v>786</v>
      </c>
      <c r="H396" s="399"/>
      <c r="I396" s="399"/>
      <c r="J396" s="399"/>
      <c r="K396" s="399"/>
      <c r="L396" s="86"/>
      <c r="M396" s="86"/>
      <c r="N396" s="86"/>
      <c r="O396" s="86"/>
      <c r="P396" s="86"/>
      <c r="Q396" s="86"/>
      <c r="R396" s="435"/>
      <c r="S396" s="52"/>
      <c r="T396" s="52"/>
      <c r="V396" s="52">
        <f t="shared" si="65"/>
        <v>0</v>
      </c>
      <c r="AI396" s="52"/>
    </row>
    <row r="397" spans="1:35" ht="12">
      <c r="A397" s="80">
        <f>+A360+1</f>
        <v>83</v>
      </c>
      <c r="B397" s="80"/>
      <c r="C397" s="80"/>
      <c r="D397" s="83"/>
      <c r="E397" s="85">
        <v>481942</v>
      </c>
      <c r="F397" s="112"/>
      <c r="G397" s="83" t="s">
        <v>763</v>
      </c>
      <c r="H397" s="399">
        <v>593000</v>
      </c>
      <c r="I397" s="420"/>
      <c r="J397" s="420"/>
      <c r="K397" s="420"/>
      <c r="L397" s="386">
        <f>+H397+I397+J397+K397</f>
        <v>593000</v>
      </c>
      <c r="M397" s="86">
        <v>266084.4</v>
      </c>
      <c r="N397" s="86"/>
      <c r="O397" s="86"/>
      <c r="P397" s="86"/>
      <c r="Q397" s="86">
        <v>0</v>
      </c>
      <c r="R397" s="435">
        <f>+M397/H397*100</f>
        <v>44.87089376053963</v>
      </c>
      <c r="S397" s="52"/>
      <c r="T397" s="52"/>
      <c r="V397" s="52">
        <f t="shared" si="65"/>
        <v>326915.6</v>
      </c>
      <c r="AI397" s="52"/>
    </row>
    <row r="398" spans="1:35" ht="12">
      <c r="A398" s="80"/>
      <c r="B398" s="80"/>
      <c r="C398" s="80"/>
      <c r="D398" s="83"/>
      <c r="E398" s="85"/>
      <c r="F398" s="112"/>
      <c r="G398" s="83"/>
      <c r="H398" s="399"/>
      <c r="I398" s="420"/>
      <c r="J398" s="420"/>
      <c r="K398" s="420"/>
      <c r="L398" s="86"/>
      <c r="M398" s="86"/>
      <c r="N398" s="86"/>
      <c r="O398" s="86"/>
      <c r="P398" s="86"/>
      <c r="Q398" s="86"/>
      <c r="R398" s="435"/>
      <c r="S398" s="52"/>
      <c r="T398" s="52"/>
      <c r="V398" s="52">
        <f t="shared" si="65"/>
        <v>0</v>
      </c>
      <c r="AI398" s="52"/>
    </row>
    <row r="399" spans="1:35" ht="12">
      <c r="A399" s="83"/>
      <c r="B399" s="83"/>
      <c r="C399" s="80" t="s">
        <v>91</v>
      </c>
      <c r="D399" s="80"/>
      <c r="E399" s="85"/>
      <c r="F399" s="112"/>
      <c r="G399" s="82" t="s">
        <v>679</v>
      </c>
      <c r="H399" s="399"/>
      <c r="I399" s="399"/>
      <c r="J399" s="399"/>
      <c r="K399" s="399"/>
      <c r="L399" s="86"/>
      <c r="M399" s="86"/>
      <c r="N399" s="86"/>
      <c r="O399" s="86"/>
      <c r="P399" s="86"/>
      <c r="Q399" s="86"/>
      <c r="R399" s="435"/>
      <c r="S399" s="52"/>
      <c r="T399" s="52"/>
      <c r="V399" s="52">
        <f t="shared" si="65"/>
        <v>0</v>
      </c>
      <c r="AI399" s="52"/>
    </row>
    <row r="400" spans="1:35" ht="12">
      <c r="A400" s="83"/>
      <c r="B400" s="83"/>
      <c r="C400" s="83"/>
      <c r="D400" s="89">
        <v>160</v>
      </c>
      <c r="E400" s="85"/>
      <c r="F400" s="112"/>
      <c r="G400" s="82" t="s">
        <v>786</v>
      </c>
      <c r="H400" s="399"/>
      <c r="I400" s="399"/>
      <c r="J400" s="399"/>
      <c r="K400" s="399"/>
      <c r="L400" s="86"/>
      <c r="M400" s="86"/>
      <c r="N400" s="86"/>
      <c r="O400" s="86"/>
      <c r="P400" s="86"/>
      <c r="Q400" s="86"/>
      <c r="R400" s="435"/>
      <c r="S400" s="52"/>
      <c r="T400" s="52"/>
      <c r="V400" s="52">
        <f t="shared" si="65"/>
        <v>0</v>
      </c>
      <c r="AI400" s="52"/>
    </row>
    <row r="401" spans="1:35" ht="12">
      <c r="A401" s="80">
        <f>+A397+1</f>
        <v>84</v>
      </c>
      <c r="B401" s="80"/>
      <c r="C401" s="80"/>
      <c r="D401" s="89"/>
      <c r="E401" s="85">
        <v>463</v>
      </c>
      <c r="F401" s="112"/>
      <c r="G401" s="83" t="s">
        <v>557</v>
      </c>
      <c r="H401" s="399">
        <v>100000</v>
      </c>
      <c r="I401" s="420"/>
      <c r="J401" s="420"/>
      <c r="K401" s="420"/>
      <c r="L401" s="386">
        <f>+H401+I401+J401+K401</f>
        <v>100000</v>
      </c>
      <c r="M401" s="86">
        <v>90000</v>
      </c>
      <c r="N401" s="86"/>
      <c r="O401" s="86"/>
      <c r="P401" s="86"/>
      <c r="Q401" s="86">
        <v>0</v>
      </c>
      <c r="R401" s="435">
        <f>+M401/H401*100</f>
        <v>90</v>
      </c>
      <c r="S401" s="52"/>
      <c r="T401" s="52"/>
      <c r="V401" s="52">
        <f t="shared" si="65"/>
        <v>10000</v>
      </c>
      <c r="AI401" s="52"/>
    </row>
    <row r="402" spans="1:35" ht="12">
      <c r="A402" s="12"/>
      <c r="B402" s="12"/>
      <c r="C402" s="12"/>
      <c r="D402" s="12"/>
      <c r="E402" s="3"/>
      <c r="F402" s="103"/>
      <c r="G402" s="3" t="s">
        <v>627</v>
      </c>
      <c r="H402" s="91">
        <f aca="true" t="shared" si="66" ref="H402:P402">SUM(H397:H401)</f>
        <v>693000</v>
      </c>
      <c r="I402" s="91">
        <f t="shared" si="66"/>
        <v>0</v>
      </c>
      <c r="J402" s="91">
        <f t="shared" si="66"/>
        <v>0</v>
      </c>
      <c r="K402" s="91">
        <f t="shared" si="66"/>
        <v>0</v>
      </c>
      <c r="L402" s="509">
        <f>+H402+I402+J402+K402</f>
        <v>693000</v>
      </c>
      <c r="M402" s="508">
        <f t="shared" si="66"/>
        <v>356084.4</v>
      </c>
      <c r="N402" s="508"/>
      <c r="O402" s="508">
        <f t="shared" si="66"/>
        <v>0</v>
      </c>
      <c r="P402" s="130">
        <f t="shared" si="66"/>
        <v>0</v>
      </c>
      <c r="Q402" s="130">
        <f>SUM(Q397:Q401)</f>
        <v>0</v>
      </c>
      <c r="R402" s="436">
        <f>+M402/H402*100</f>
        <v>51.38303030303031</v>
      </c>
      <c r="S402" s="52"/>
      <c r="T402" s="52"/>
      <c r="V402" s="52">
        <f t="shared" si="65"/>
        <v>336915.6</v>
      </c>
      <c r="AB402" s="52"/>
      <c r="AI402" s="52"/>
    </row>
    <row r="403" spans="1:35" ht="12">
      <c r="A403" s="143"/>
      <c r="B403" s="70"/>
      <c r="C403" s="70"/>
      <c r="D403" s="70"/>
      <c r="E403" s="70"/>
      <c r="F403" s="114"/>
      <c r="G403" s="39" t="s">
        <v>687</v>
      </c>
      <c r="H403" s="70"/>
      <c r="I403" s="70"/>
      <c r="J403" s="389"/>
      <c r="K403" s="389"/>
      <c r="L403" s="70"/>
      <c r="M403" s="61"/>
      <c r="N403" s="61"/>
      <c r="O403" s="61"/>
      <c r="P403" s="61"/>
      <c r="Q403" s="61"/>
      <c r="R403" s="438"/>
      <c r="S403" s="52"/>
      <c r="T403" s="52"/>
      <c r="V403" s="52">
        <f t="shared" si="65"/>
        <v>0</v>
      </c>
      <c r="AI403" s="52"/>
    </row>
    <row r="404" spans="1:35" ht="12">
      <c r="A404" s="144"/>
      <c r="B404" s="71"/>
      <c r="C404" s="71"/>
      <c r="D404" s="71"/>
      <c r="E404" s="71"/>
      <c r="F404" s="17" t="s">
        <v>73</v>
      </c>
      <c r="G404" s="20" t="s">
        <v>674</v>
      </c>
      <c r="H404" s="62">
        <f>+H397+H401</f>
        <v>693000</v>
      </c>
      <c r="I404" s="71"/>
      <c r="J404" s="390"/>
      <c r="K404" s="390"/>
      <c r="L404" s="71"/>
      <c r="M404" s="62">
        <f>+M397+M401</f>
        <v>356084.4</v>
      </c>
      <c r="N404" s="62"/>
      <c r="O404" s="62"/>
      <c r="P404" s="62"/>
      <c r="Q404" s="62"/>
      <c r="R404" s="439"/>
      <c r="S404" s="52"/>
      <c r="T404" s="52"/>
      <c r="V404" s="52">
        <f t="shared" si="65"/>
        <v>336915.6</v>
      </c>
      <c r="AC404" s="52"/>
      <c r="AD404" s="52"/>
      <c r="AI404" s="52"/>
    </row>
    <row r="405" spans="1:35" ht="12">
      <c r="A405" s="144"/>
      <c r="B405" s="71"/>
      <c r="C405" s="71"/>
      <c r="D405" s="71"/>
      <c r="E405" s="71"/>
      <c r="F405" s="115"/>
      <c r="G405" s="1" t="s">
        <v>688</v>
      </c>
      <c r="H405" s="62"/>
      <c r="I405" s="71"/>
      <c r="J405" s="390"/>
      <c r="K405" s="390"/>
      <c r="L405" s="62">
        <f>+H404+I404+J404</f>
        <v>693000</v>
      </c>
      <c r="M405" s="62"/>
      <c r="N405" s="62"/>
      <c r="O405" s="62"/>
      <c r="P405" s="62"/>
      <c r="Q405" s="62"/>
      <c r="R405" s="439"/>
      <c r="S405" s="52"/>
      <c r="T405" s="52"/>
      <c r="V405" s="52">
        <f t="shared" si="65"/>
        <v>0</v>
      </c>
      <c r="AI405" s="52"/>
    </row>
    <row r="406" spans="1:35" ht="12">
      <c r="A406" s="144"/>
      <c r="B406" s="71"/>
      <c r="C406" s="71"/>
      <c r="D406" s="71"/>
      <c r="E406" s="71"/>
      <c r="F406" s="115"/>
      <c r="G406" s="1" t="s">
        <v>662</v>
      </c>
      <c r="H406" s="62"/>
      <c r="I406" s="71"/>
      <c r="J406" s="390"/>
      <c r="K406" s="390"/>
      <c r="L406" s="71"/>
      <c r="M406" s="62"/>
      <c r="N406" s="62"/>
      <c r="O406" s="62"/>
      <c r="P406" s="62"/>
      <c r="Q406" s="62"/>
      <c r="R406" s="439"/>
      <c r="S406" s="52"/>
      <c r="T406" s="52"/>
      <c r="V406" s="52">
        <f t="shared" si="65"/>
        <v>0</v>
      </c>
      <c r="AI406" s="52"/>
    </row>
    <row r="407" spans="1:35" ht="12">
      <c r="A407" s="144"/>
      <c r="B407" s="71"/>
      <c r="C407" s="71"/>
      <c r="D407" s="71"/>
      <c r="E407" s="71"/>
      <c r="F407" s="17" t="s">
        <v>73</v>
      </c>
      <c r="G407" s="20" t="s">
        <v>674</v>
      </c>
      <c r="H407" s="62">
        <f>+H404</f>
        <v>693000</v>
      </c>
      <c r="I407" s="71"/>
      <c r="J407" s="390"/>
      <c r="K407" s="390"/>
      <c r="L407" s="71"/>
      <c r="M407" s="62">
        <f>+M404</f>
        <v>356084.4</v>
      </c>
      <c r="N407" s="62"/>
      <c r="O407" s="62"/>
      <c r="P407" s="62"/>
      <c r="Q407" s="62"/>
      <c r="R407" s="439"/>
      <c r="S407" s="52"/>
      <c r="T407" s="52"/>
      <c r="V407" s="52">
        <f t="shared" si="65"/>
        <v>336915.6</v>
      </c>
      <c r="AI407" s="52"/>
    </row>
    <row r="408" spans="1:35" ht="12">
      <c r="A408" s="145"/>
      <c r="B408" s="68"/>
      <c r="C408" s="68"/>
      <c r="D408" s="68"/>
      <c r="E408" s="68"/>
      <c r="F408" s="116"/>
      <c r="G408" s="90" t="s">
        <v>628</v>
      </c>
      <c r="H408" s="68"/>
      <c r="I408" s="68"/>
      <c r="J408" s="391"/>
      <c r="K408" s="391"/>
      <c r="L408" s="53"/>
      <c r="M408" s="53"/>
      <c r="N408" s="53"/>
      <c r="O408" s="53"/>
      <c r="P408" s="53"/>
      <c r="Q408" s="53"/>
      <c r="R408" s="543">
        <f>+M407</f>
        <v>356084.4</v>
      </c>
      <c r="S408" s="52"/>
      <c r="T408" s="52"/>
      <c r="V408" s="52">
        <f t="shared" si="65"/>
        <v>0</v>
      </c>
      <c r="AI408" s="52"/>
    </row>
    <row r="409" spans="13:35" ht="12">
      <c r="M409" s="52"/>
      <c r="N409" s="52"/>
      <c r="O409" s="52"/>
      <c r="P409" s="52"/>
      <c r="Q409" s="52"/>
      <c r="S409" s="52"/>
      <c r="T409" s="52"/>
      <c r="V409" s="52">
        <f aca="true" t="shared" si="67" ref="V409:V472">+H409-(M409+Q409)</f>
        <v>0</v>
      </c>
      <c r="AI409" s="52"/>
    </row>
    <row r="410" spans="1:35" ht="12">
      <c r="A410" s="83"/>
      <c r="B410" s="83"/>
      <c r="C410" s="80" t="s">
        <v>87</v>
      </c>
      <c r="D410" s="88"/>
      <c r="E410" s="85"/>
      <c r="F410" s="112"/>
      <c r="G410" s="82" t="s">
        <v>791</v>
      </c>
      <c r="H410" s="399"/>
      <c r="I410" s="420"/>
      <c r="J410" s="420"/>
      <c r="K410" s="420"/>
      <c r="L410" s="86"/>
      <c r="M410" s="86"/>
      <c r="N410" s="86"/>
      <c r="O410" s="86"/>
      <c r="P410" s="86"/>
      <c r="Q410" s="86"/>
      <c r="R410" s="435"/>
      <c r="S410" s="52"/>
      <c r="T410" s="52"/>
      <c r="V410" s="52">
        <f t="shared" si="67"/>
        <v>0</v>
      </c>
      <c r="AI410" s="52"/>
    </row>
    <row r="411" spans="1:35" ht="12">
      <c r="A411" s="83"/>
      <c r="B411" s="83"/>
      <c r="C411" s="80" t="s">
        <v>90</v>
      </c>
      <c r="D411" s="88"/>
      <c r="E411" s="85"/>
      <c r="F411" s="112"/>
      <c r="G411" s="82" t="s">
        <v>603</v>
      </c>
      <c r="H411" s="399"/>
      <c r="I411" s="420"/>
      <c r="J411" s="420"/>
      <c r="K411" s="420"/>
      <c r="L411" s="86"/>
      <c r="M411" s="86"/>
      <c r="N411" s="86"/>
      <c r="O411" s="86"/>
      <c r="P411" s="86"/>
      <c r="Q411" s="86"/>
      <c r="R411" s="435"/>
      <c r="S411" s="52"/>
      <c r="T411" s="52"/>
      <c r="V411" s="52">
        <f t="shared" si="67"/>
        <v>0</v>
      </c>
      <c r="AI411" s="52"/>
    </row>
    <row r="412" spans="1:35" ht="12">
      <c r="A412" s="83"/>
      <c r="B412" s="83"/>
      <c r="C412" s="83"/>
      <c r="D412" s="89">
        <v>760</v>
      </c>
      <c r="E412" s="85"/>
      <c r="F412" s="112"/>
      <c r="G412" s="82" t="s">
        <v>657</v>
      </c>
      <c r="H412" s="399"/>
      <c r="I412" s="420"/>
      <c r="J412" s="420"/>
      <c r="K412" s="420"/>
      <c r="L412" s="86"/>
      <c r="M412" s="86"/>
      <c r="N412" s="86"/>
      <c r="O412" s="86"/>
      <c r="P412" s="86"/>
      <c r="Q412" s="86"/>
      <c r="R412" s="435"/>
      <c r="S412" s="52"/>
      <c r="T412" s="52"/>
      <c r="V412" s="52">
        <f t="shared" si="67"/>
        <v>0</v>
      </c>
      <c r="AI412" s="52"/>
    </row>
    <row r="413" spans="1:35" ht="12">
      <c r="A413" s="80">
        <f>+A401+1</f>
        <v>85</v>
      </c>
      <c r="B413" s="80"/>
      <c r="C413" s="80"/>
      <c r="D413" s="88"/>
      <c r="E413" s="85">
        <v>463</v>
      </c>
      <c r="F413" s="112"/>
      <c r="G413" s="83" t="s">
        <v>557</v>
      </c>
      <c r="H413" s="399">
        <v>2110000</v>
      </c>
      <c r="I413" s="420"/>
      <c r="J413" s="420"/>
      <c r="K413" s="420"/>
      <c r="L413" s="386">
        <f>+H413+I413+J413+K413</f>
        <v>2110000</v>
      </c>
      <c r="M413" s="86">
        <v>1304456.3</v>
      </c>
      <c r="N413" s="86"/>
      <c r="O413" s="86"/>
      <c r="P413" s="86"/>
      <c r="Q413" s="86">
        <v>177500</v>
      </c>
      <c r="R413" s="435">
        <f>+M413/H413*100</f>
        <v>61.82257345971565</v>
      </c>
      <c r="S413" s="52"/>
      <c r="T413" s="52"/>
      <c r="V413" s="52">
        <f t="shared" si="67"/>
        <v>628043.7</v>
      </c>
      <c r="AI413" s="52"/>
    </row>
    <row r="414" spans="1:35" ht="12">
      <c r="A414" s="80">
        <f>+A413+1</f>
        <v>86</v>
      </c>
      <c r="B414" s="80"/>
      <c r="C414" s="80"/>
      <c r="D414" s="83"/>
      <c r="E414" s="85">
        <v>424</v>
      </c>
      <c r="F414" s="112"/>
      <c r="G414" s="83" t="s">
        <v>731</v>
      </c>
      <c r="H414" s="399">
        <v>885000</v>
      </c>
      <c r="I414" s="399"/>
      <c r="J414" s="399"/>
      <c r="K414" s="399"/>
      <c r="L414" s="386">
        <f>+H414+I414+J414+K414</f>
        <v>885000</v>
      </c>
      <c r="M414" s="86">
        <v>801694</v>
      </c>
      <c r="N414" s="86"/>
      <c r="O414" s="86"/>
      <c r="P414" s="86"/>
      <c r="Q414" s="536"/>
      <c r="R414" s="435">
        <f>+M414/H414*100</f>
        <v>90.58689265536724</v>
      </c>
      <c r="S414" s="52"/>
      <c r="T414" s="52"/>
      <c r="V414" s="52">
        <f t="shared" si="67"/>
        <v>83306</v>
      </c>
      <c r="AI414" s="52"/>
    </row>
    <row r="415" spans="1:35" ht="12">
      <c r="A415" s="80"/>
      <c r="B415" s="80"/>
      <c r="C415" s="80" t="s">
        <v>92</v>
      </c>
      <c r="D415" s="80">
        <v>760</v>
      </c>
      <c r="E415" s="85"/>
      <c r="F415" s="112"/>
      <c r="G415" s="82" t="s">
        <v>599</v>
      </c>
      <c r="H415" s="399"/>
      <c r="I415" s="399"/>
      <c r="J415" s="399"/>
      <c r="K415" s="399"/>
      <c r="L415" s="386"/>
      <c r="M415" s="86"/>
      <c r="N415" s="86"/>
      <c r="O415" s="86"/>
      <c r="P415" s="86"/>
      <c r="Q415" s="86"/>
      <c r="R415" s="435"/>
      <c r="S415" s="52"/>
      <c r="T415" s="52"/>
      <c r="V415" s="52">
        <f t="shared" si="67"/>
        <v>0</v>
      </c>
      <c r="AI415" s="52"/>
    </row>
    <row r="416" spans="1:35" ht="12">
      <c r="A416" s="80">
        <f>+A414+1</f>
        <v>87</v>
      </c>
      <c r="B416" s="80"/>
      <c r="C416" s="80"/>
      <c r="D416" s="83"/>
      <c r="E416" s="85">
        <v>481</v>
      </c>
      <c r="F416" s="112"/>
      <c r="G416" s="83" t="s">
        <v>561</v>
      </c>
      <c r="H416" s="399">
        <f>2000000+S416</f>
        <v>2035000</v>
      </c>
      <c r="I416" s="399"/>
      <c r="J416" s="399"/>
      <c r="K416" s="399"/>
      <c r="L416" s="386">
        <f>+H416+I416+J416+K416</f>
        <v>2035000</v>
      </c>
      <c r="M416" s="86">
        <v>2031000</v>
      </c>
      <c r="N416" s="86"/>
      <c r="O416" s="86"/>
      <c r="P416" s="86"/>
      <c r="Q416" s="86"/>
      <c r="R416" s="435">
        <f>+M416/H416*100</f>
        <v>99.80343980343982</v>
      </c>
      <c r="S416" s="52">
        <f>25000+10000</f>
        <v>35000</v>
      </c>
      <c r="T416" s="52"/>
      <c r="V416" s="52">
        <f t="shared" si="67"/>
        <v>4000</v>
      </c>
      <c r="AI416" s="52"/>
    </row>
    <row r="417" spans="1:35" ht="12">
      <c r="A417" s="12"/>
      <c r="B417" s="12"/>
      <c r="C417" s="12"/>
      <c r="D417" s="12"/>
      <c r="E417" s="3"/>
      <c r="F417" s="103"/>
      <c r="G417" s="3" t="s">
        <v>629</v>
      </c>
      <c r="H417" s="91">
        <f aca="true" t="shared" si="68" ref="H417:Q417">SUM(H413:H416)</f>
        <v>5030000</v>
      </c>
      <c r="I417" s="91">
        <f t="shared" si="68"/>
        <v>0</v>
      </c>
      <c r="J417" s="91">
        <f t="shared" si="68"/>
        <v>0</v>
      </c>
      <c r="K417" s="91">
        <f t="shared" si="68"/>
        <v>0</v>
      </c>
      <c r="L417" s="509">
        <f>+H417+I417+J417+K417</f>
        <v>5030000</v>
      </c>
      <c r="M417" s="508">
        <f t="shared" si="68"/>
        <v>4137150.3</v>
      </c>
      <c r="N417" s="508"/>
      <c r="O417" s="508">
        <f t="shared" si="68"/>
        <v>0</v>
      </c>
      <c r="P417" s="130">
        <f t="shared" si="68"/>
        <v>0</v>
      </c>
      <c r="Q417" s="130">
        <f t="shared" si="68"/>
        <v>177500</v>
      </c>
      <c r="R417" s="435">
        <f>+M417/H417*100</f>
        <v>82.24950894632205</v>
      </c>
      <c r="S417" s="52"/>
      <c r="T417" s="52"/>
      <c r="V417" s="52">
        <f t="shared" si="67"/>
        <v>715349.7000000002</v>
      </c>
      <c r="AB417" s="52"/>
      <c r="AI417" s="52"/>
    </row>
    <row r="418" spans="1:35" ht="12">
      <c r="A418" s="143"/>
      <c r="B418" s="70"/>
      <c r="C418" s="70"/>
      <c r="D418" s="70"/>
      <c r="E418" s="70"/>
      <c r="F418" s="146"/>
      <c r="G418" s="39" t="s">
        <v>711</v>
      </c>
      <c r="H418" s="70"/>
      <c r="I418" s="70"/>
      <c r="J418" s="389"/>
      <c r="K418" s="389"/>
      <c r="L418" s="70"/>
      <c r="M418" s="61"/>
      <c r="N418" s="61"/>
      <c r="O418" s="61"/>
      <c r="P418" s="61"/>
      <c r="Q418" s="61"/>
      <c r="R418" s="438"/>
      <c r="S418" s="52"/>
      <c r="T418" s="52"/>
      <c r="V418" s="52">
        <f t="shared" si="67"/>
        <v>0</v>
      </c>
      <c r="AI418" s="52"/>
    </row>
    <row r="419" spans="1:35" ht="12">
      <c r="A419" s="144"/>
      <c r="B419" s="71"/>
      <c r="C419" s="71"/>
      <c r="D419" s="71"/>
      <c r="E419" s="71"/>
      <c r="F419" s="138" t="s">
        <v>73</v>
      </c>
      <c r="G419" s="20" t="s">
        <v>674</v>
      </c>
      <c r="H419" s="62">
        <f>+H413+H414+H416</f>
        <v>5030000</v>
      </c>
      <c r="I419" s="71"/>
      <c r="J419" s="390"/>
      <c r="K419" s="390"/>
      <c r="L419" s="71"/>
      <c r="M419" s="62">
        <f>+M413+M414+M416</f>
        <v>4137150.3</v>
      </c>
      <c r="N419" s="62"/>
      <c r="O419" s="62"/>
      <c r="P419" s="62"/>
      <c r="Q419" s="62"/>
      <c r="R419" s="439"/>
      <c r="S419" s="52"/>
      <c r="T419" s="52"/>
      <c r="V419" s="52">
        <f t="shared" si="67"/>
        <v>892849.7000000002</v>
      </c>
      <c r="AC419" s="52"/>
      <c r="AD419" s="52"/>
      <c r="AI419" s="52"/>
    </row>
    <row r="420" spans="1:35" ht="12">
      <c r="A420" s="144"/>
      <c r="B420" s="71"/>
      <c r="C420" s="71"/>
      <c r="D420" s="71"/>
      <c r="E420" s="71"/>
      <c r="F420" s="138"/>
      <c r="G420" s="1" t="s">
        <v>712</v>
      </c>
      <c r="H420" s="62"/>
      <c r="I420" s="71"/>
      <c r="J420" s="390"/>
      <c r="K420" s="390"/>
      <c r="L420" s="62">
        <f>H419+I419+J419</f>
        <v>5030000</v>
      </c>
      <c r="M420" s="62"/>
      <c r="N420" s="62"/>
      <c r="O420" s="62"/>
      <c r="P420" s="62"/>
      <c r="Q420" s="62"/>
      <c r="R420" s="439"/>
      <c r="S420" s="52"/>
      <c r="T420" s="52"/>
      <c r="V420" s="52">
        <f t="shared" si="67"/>
        <v>0</v>
      </c>
      <c r="AI420" s="52"/>
    </row>
    <row r="421" spans="1:35" ht="12">
      <c r="A421" s="144"/>
      <c r="B421" s="71"/>
      <c r="C421" s="71"/>
      <c r="D421" s="71"/>
      <c r="E421" s="71"/>
      <c r="F421" s="138"/>
      <c r="G421" s="1" t="s">
        <v>663</v>
      </c>
      <c r="H421" s="62"/>
      <c r="I421" s="71"/>
      <c r="J421" s="390"/>
      <c r="K421" s="390"/>
      <c r="L421" s="62"/>
      <c r="M421" s="62"/>
      <c r="N421" s="62"/>
      <c r="O421" s="62"/>
      <c r="P421" s="62"/>
      <c r="Q421" s="62"/>
      <c r="R421" s="439"/>
      <c r="S421" s="52"/>
      <c r="T421" s="52"/>
      <c r="V421" s="52">
        <f t="shared" si="67"/>
        <v>0</v>
      </c>
      <c r="AI421" s="52"/>
    </row>
    <row r="422" spans="1:35" ht="12">
      <c r="A422" s="144"/>
      <c r="B422" s="71"/>
      <c r="C422" s="71"/>
      <c r="D422" s="71"/>
      <c r="E422" s="71"/>
      <c r="F422" s="138" t="s">
        <v>73</v>
      </c>
      <c r="G422" s="20" t="s">
        <v>674</v>
      </c>
      <c r="H422" s="62">
        <f>+H419</f>
        <v>5030000</v>
      </c>
      <c r="I422" s="71"/>
      <c r="J422" s="390"/>
      <c r="K422" s="390"/>
      <c r="L422" s="71"/>
      <c r="M422" s="62">
        <f>+M419</f>
        <v>4137150.3</v>
      </c>
      <c r="N422" s="62"/>
      <c r="O422" s="62"/>
      <c r="P422" s="62"/>
      <c r="Q422" s="62"/>
      <c r="R422" s="439"/>
      <c r="S422" s="52"/>
      <c r="T422" s="52"/>
      <c r="V422" s="52">
        <f t="shared" si="67"/>
        <v>892849.7000000002</v>
      </c>
      <c r="AI422" s="52"/>
    </row>
    <row r="423" spans="1:35" ht="12">
      <c r="A423" s="145"/>
      <c r="B423" s="68"/>
      <c r="C423" s="68"/>
      <c r="D423" s="68"/>
      <c r="E423" s="68"/>
      <c r="F423" s="119"/>
      <c r="G423" s="90" t="s">
        <v>630</v>
      </c>
      <c r="H423" s="68"/>
      <c r="I423" s="68"/>
      <c r="J423" s="391"/>
      <c r="K423" s="391"/>
      <c r="L423" s="53">
        <f>H422+I422+J422</f>
        <v>5030000</v>
      </c>
      <c r="M423" s="53"/>
      <c r="N423" s="53"/>
      <c r="O423" s="53"/>
      <c r="P423" s="53"/>
      <c r="Q423" s="53"/>
      <c r="R423" s="543">
        <f>+M422</f>
        <v>4137150.3</v>
      </c>
      <c r="S423" s="52"/>
      <c r="T423" s="52"/>
      <c r="V423" s="52">
        <f t="shared" si="67"/>
        <v>0</v>
      </c>
      <c r="AI423" s="52"/>
    </row>
    <row r="424" spans="13:35" ht="12">
      <c r="M424" s="52"/>
      <c r="N424" s="52"/>
      <c r="O424" s="52"/>
      <c r="P424" s="52"/>
      <c r="Q424" s="52"/>
      <c r="S424" s="52"/>
      <c r="T424" s="52"/>
      <c r="V424" s="52">
        <f t="shared" si="67"/>
        <v>0</v>
      </c>
      <c r="AI424" s="52"/>
    </row>
    <row r="425" spans="1:35" ht="12">
      <c r="A425" s="83"/>
      <c r="B425" s="83"/>
      <c r="C425" s="80" t="s">
        <v>88</v>
      </c>
      <c r="D425" s="147"/>
      <c r="E425" s="85"/>
      <c r="F425" s="112"/>
      <c r="G425" s="82" t="s">
        <v>732</v>
      </c>
      <c r="H425" s="399"/>
      <c r="I425" s="399"/>
      <c r="J425" s="399"/>
      <c r="K425" s="399"/>
      <c r="L425" s="86"/>
      <c r="M425" s="86"/>
      <c r="N425" s="86"/>
      <c r="O425" s="86"/>
      <c r="P425" s="86"/>
      <c r="Q425" s="86"/>
      <c r="R425" s="435"/>
      <c r="S425" s="52"/>
      <c r="T425" s="52"/>
      <c r="V425" s="52">
        <f t="shared" si="67"/>
        <v>0</v>
      </c>
      <c r="AI425" s="52"/>
    </row>
    <row r="426" spans="1:35" ht="12">
      <c r="A426" s="83"/>
      <c r="B426" s="83"/>
      <c r="C426" s="80"/>
      <c r="D426" s="89">
        <v>610</v>
      </c>
      <c r="E426" s="85"/>
      <c r="F426" s="112"/>
      <c r="G426" s="82" t="s">
        <v>600</v>
      </c>
      <c r="H426" s="399"/>
      <c r="I426" s="399"/>
      <c r="J426" s="399"/>
      <c r="K426" s="399"/>
      <c r="L426" s="86"/>
      <c r="M426" s="86"/>
      <c r="N426" s="86"/>
      <c r="O426" s="86"/>
      <c r="P426" s="86"/>
      <c r="Q426" s="86"/>
      <c r="R426" s="435"/>
      <c r="S426" s="52"/>
      <c r="T426" s="52"/>
      <c r="V426" s="52">
        <f t="shared" si="67"/>
        <v>0</v>
      </c>
      <c r="AI426" s="52"/>
    </row>
    <row r="427" spans="1:35" ht="12">
      <c r="A427" s="80">
        <f>+A416+1</f>
        <v>88</v>
      </c>
      <c r="B427" s="80"/>
      <c r="C427" s="80"/>
      <c r="D427" s="80"/>
      <c r="E427" s="85">
        <v>4819</v>
      </c>
      <c r="F427" s="112"/>
      <c r="G427" s="83" t="s">
        <v>700</v>
      </c>
      <c r="H427" s="399">
        <f>1000000+320000</f>
        <v>1320000</v>
      </c>
      <c r="I427" s="399"/>
      <c r="J427" s="399"/>
      <c r="K427" s="399"/>
      <c r="L427" s="386">
        <f>+H427+I427+J427+K427</f>
        <v>1320000</v>
      </c>
      <c r="M427" s="86">
        <v>1273464.27</v>
      </c>
      <c r="N427" s="86"/>
      <c r="O427" s="86"/>
      <c r="P427" s="86"/>
      <c r="Q427" s="86">
        <v>22000</v>
      </c>
      <c r="R427" s="435">
        <f>+M427/H427*100</f>
        <v>96.47456590909091</v>
      </c>
      <c r="S427" s="52"/>
      <c r="T427" s="52"/>
      <c r="V427" s="52">
        <f t="shared" si="67"/>
        <v>24535.72999999998</v>
      </c>
      <c r="AI427" s="52"/>
    </row>
    <row r="428" spans="1:35" ht="12">
      <c r="A428" s="12"/>
      <c r="B428" s="12"/>
      <c r="C428" s="12"/>
      <c r="D428" s="12"/>
      <c r="E428" s="3"/>
      <c r="F428" s="103"/>
      <c r="G428" s="3" t="s">
        <v>631</v>
      </c>
      <c r="H428" s="91">
        <f aca="true" t="shared" si="69" ref="H428:Q428">SUM(H427)</f>
        <v>1320000</v>
      </c>
      <c r="I428" s="91">
        <f t="shared" si="69"/>
        <v>0</v>
      </c>
      <c r="J428" s="91">
        <f t="shared" si="69"/>
        <v>0</v>
      </c>
      <c r="K428" s="91">
        <f t="shared" si="69"/>
        <v>0</v>
      </c>
      <c r="L428" s="509">
        <f>+H428+I428+J428+K428</f>
        <v>1320000</v>
      </c>
      <c r="M428" s="508">
        <f t="shared" si="69"/>
        <v>1273464.27</v>
      </c>
      <c r="N428" s="508"/>
      <c r="O428" s="508">
        <f t="shared" si="69"/>
        <v>0</v>
      </c>
      <c r="P428" s="130">
        <f t="shared" si="69"/>
        <v>0</v>
      </c>
      <c r="Q428" s="130">
        <f t="shared" si="69"/>
        <v>22000</v>
      </c>
      <c r="R428" s="435">
        <f>+M428/H428*100</f>
        <v>96.47456590909091</v>
      </c>
      <c r="S428" s="52"/>
      <c r="T428" s="52"/>
      <c r="V428" s="52">
        <f t="shared" si="67"/>
        <v>24535.72999999998</v>
      </c>
      <c r="AB428" s="52"/>
      <c r="AI428" s="52"/>
    </row>
    <row r="429" spans="1:35" ht="12">
      <c r="A429" s="148"/>
      <c r="B429" s="13"/>
      <c r="C429" s="13"/>
      <c r="D429" s="13"/>
      <c r="E429" s="15"/>
      <c r="F429" s="146"/>
      <c r="G429" s="39" t="s">
        <v>733</v>
      </c>
      <c r="H429" s="415"/>
      <c r="I429" s="415"/>
      <c r="J429" s="415"/>
      <c r="K429" s="415"/>
      <c r="L429" s="415"/>
      <c r="M429" s="61"/>
      <c r="N429" s="61"/>
      <c r="O429" s="61"/>
      <c r="P429" s="61"/>
      <c r="Q429" s="61"/>
      <c r="R429" s="438"/>
      <c r="S429" s="52"/>
      <c r="T429" s="52"/>
      <c r="V429" s="52">
        <f t="shared" si="67"/>
        <v>0</v>
      </c>
      <c r="AI429" s="52"/>
    </row>
    <row r="430" spans="1:35" ht="12">
      <c r="A430" s="149"/>
      <c r="B430" s="2"/>
      <c r="C430" s="2"/>
      <c r="D430" s="2"/>
      <c r="E430" s="5"/>
      <c r="F430" s="138" t="s">
        <v>73</v>
      </c>
      <c r="G430" s="20" t="s">
        <v>674</v>
      </c>
      <c r="H430" s="10">
        <f>+H427</f>
        <v>1320000</v>
      </c>
      <c r="I430" s="10"/>
      <c r="J430" s="10"/>
      <c r="K430" s="10"/>
      <c r="L430" s="71"/>
      <c r="M430" s="62">
        <f>+M427</f>
        <v>1273464.27</v>
      </c>
      <c r="N430" s="62"/>
      <c r="O430" s="62"/>
      <c r="P430" s="62"/>
      <c r="Q430" s="62"/>
      <c r="R430" s="439"/>
      <c r="S430" s="52"/>
      <c r="T430" s="52"/>
      <c r="V430" s="52">
        <f t="shared" si="67"/>
        <v>46535.72999999998</v>
      </c>
      <c r="AC430" s="52"/>
      <c r="AD430" s="52"/>
      <c r="AI430" s="52"/>
    </row>
    <row r="431" spans="1:35" ht="12">
      <c r="A431" s="149"/>
      <c r="B431" s="2"/>
      <c r="C431" s="2"/>
      <c r="D431" s="2"/>
      <c r="E431" s="5"/>
      <c r="F431" s="138"/>
      <c r="G431" s="1" t="s">
        <v>734</v>
      </c>
      <c r="H431" s="10"/>
      <c r="I431" s="10"/>
      <c r="J431" s="10"/>
      <c r="K431" s="10"/>
      <c r="L431" s="62">
        <f>+H430+I430+J430</f>
        <v>1320000</v>
      </c>
      <c r="M431" s="62"/>
      <c r="N431" s="62"/>
      <c r="O431" s="62"/>
      <c r="P431" s="62"/>
      <c r="Q431" s="62"/>
      <c r="R431" s="439"/>
      <c r="S431" s="52"/>
      <c r="T431" s="52"/>
      <c r="V431" s="52">
        <f t="shared" si="67"/>
        <v>0</v>
      </c>
      <c r="AI431" s="52"/>
    </row>
    <row r="432" spans="1:35" ht="12">
      <c r="A432" s="149"/>
      <c r="B432" s="2"/>
      <c r="C432" s="2"/>
      <c r="D432" s="2"/>
      <c r="E432" s="5"/>
      <c r="F432" s="138"/>
      <c r="G432" s="1" t="s">
        <v>664</v>
      </c>
      <c r="H432" s="10"/>
      <c r="I432" s="10"/>
      <c r="J432" s="10"/>
      <c r="K432" s="10"/>
      <c r="L432" s="62"/>
      <c r="M432" s="62"/>
      <c r="N432" s="62"/>
      <c r="O432" s="62"/>
      <c r="P432" s="62"/>
      <c r="Q432" s="62"/>
      <c r="R432" s="439"/>
      <c r="S432" s="52"/>
      <c r="T432" s="52"/>
      <c r="V432" s="52">
        <f t="shared" si="67"/>
        <v>0</v>
      </c>
      <c r="AI432" s="52"/>
    </row>
    <row r="433" spans="1:35" ht="12">
      <c r="A433" s="149"/>
      <c r="B433" s="2"/>
      <c r="C433" s="2"/>
      <c r="D433" s="2"/>
      <c r="E433" s="5"/>
      <c r="F433" s="138" t="s">
        <v>73</v>
      </c>
      <c r="G433" s="20" t="s">
        <v>674</v>
      </c>
      <c r="H433" s="10">
        <f>+H430</f>
        <v>1320000</v>
      </c>
      <c r="I433" s="10"/>
      <c r="J433" s="10"/>
      <c r="K433" s="10"/>
      <c r="L433" s="71"/>
      <c r="M433" s="62">
        <f>+M430</f>
        <v>1273464.27</v>
      </c>
      <c r="N433" s="62"/>
      <c r="O433" s="62"/>
      <c r="P433" s="62"/>
      <c r="Q433" s="62"/>
      <c r="R433" s="439"/>
      <c r="S433" s="52"/>
      <c r="T433" s="52"/>
      <c r="V433" s="52">
        <f t="shared" si="67"/>
        <v>46535.72999999998</v>
      </c>
      <c r="AI433" s="52"/>
    </row>
    <row r="434" spans="1:35" ht="12">
      <c r="A434" s="150"/>
      <c r="B434" s="40"/>
      <c r="C434" s="40"/>
      <c r="D434" s="40"/>
      <c r="E434" s="19"/>
      <c r="F434" s="119"/>
      <c r="G434" s="90" t="s">
        <v>632</v>
      </c>
      <c r="H434" s="407"/>
      <c r="I434" s="407"/>
      <c r="J434" s="407"/>
      <c r="K434" s="407"/>
      <c r="L434" s="53">
        <f>+H433+I433+J433</f>
        <v>1320000</v>
      </c>
      <c r="M434" s="53"/>
      <c r="N434" s="53"/>
      <c r="O434" s="53"/>
      <c r="P434" s="53"/>
      <c r="Q434" s="53"/>
      <c r="R434" s="543">
        <f>+M433</f>
        <v>1273464.27</v>
      </c>
      <c r="S434" s="52"/>
      <c r="T434" s="52"/>
      <c r="V434" s="52">
        <f t="shared" si="67"/>
        <v>0</v>
      </c>
      <c r="AI434" s="52"/>
    </row>
    <row r="435" spans="1:35" ht="12">
      <c r="A435" s="2"/>
      <c r="B435" s="2"/>
      <c r="C435" s="2"/>
      <c r="D435" s="2"/>
      <c r="E435" s="5"/>
      <c r="F435" s="104"/>
      <c r="G435" s="5"/>
      <c r="H435" s="10"/>
      <c r="I435" s="10"/>
      <c r="J435" s="10"/>
      <c r="K435" s="10"/>
      <c r="L435" s="10"/>
      <c r="M435" s="52"/>
      <c r="N435" s="52"/>
      <c r="O435" s="52"/>
      <c r="P435" s="52"/>
      <c r="Q435" s="52"/>
      <c r="S435" s="52"/>
      <c r="T435" s="52"/>
      <c r="V435" s="52">
        <f t="shared" si="67"/>
        <v>0</v>
      </c>
      <c r="AI435" s="52"/>
    </row>
    <row r="436" spans="1:35" ht="12">
      <c r="A436" s="83"/>
      <c r="B436" s="83"/>
      <c r="C436" s="80" t="s">
        <v>89</v>
      </c>
      <c r="D436" s="89"/>
      <c r="E436" s="85"/>
      <c r="F436" s="112"/>
      <c r="G436" s="82" t="s">
        <v>735</v>
      </c>
      <c r="H436" s="399"/>
      <c r="I436" s="399"/>
      <c r="J436" s="399"/>
      <c r="K436" s="399"/>
      <c r="L436" s="86"/>
      <c r="M436" s="86"/>
      <c r="N436" s="86"/>
      <c r="O436" s="86"/>
      <c r="P436" s="86"/>
      <c r="Q436" s="86"/>
      <c r="R436" s="435"/>
      <c r="S436" s="52"/>
      <c r="T436" s="52"/>
      <c r="V436" s="52">
        <f t="shared" si="67"/>
        <v>0</v>
      </c>
      <c r="AI436" s="52"/>
    </row>
    <row r="437" spans="1:35" ht="12">
      <c r="A437" s="83"/>
      <c r="B437" s="83"/>
      <c r="C437" s="83"/>
      <c r="D437" s="89">
        <v>170</v>
      </c>
      <c r="E437" s="85"/>
      <c r="F437" s="112"/>
      <c r="G437" s="82" t="s">
        <v>736</v>
      </c>
      <c r="H437" s="399"/>
      <c r="I437" s="399"/>
      <c r="J437" s="399"/>
      <c r="K437" s="399"/>
      <c r="L437" s="86"/>
      <c r="M437" s="86"/>
      <c r="N437" s="86"/>
      <c r="O437" s="86"/>
      <c r="P437" s="86"/>
      <c r="Q437" s="86"/>
      <c r="R437" s="435"/>
      <c r="S437" s="52"/>
      <c r="T437" s="52"/>
      <c r="V437" s="52">
        <f t="shared" si="67"/>
        <v>0</v>
      </c>
      <c r="AI437" s="52"/>
    </row>
    <row r="438" spans="1:35" ht="12">
      <c r="A438" s="80">
        <f>+A427+1</f>
        <v>89</v>
      </c>
      <c r="B438" s="80"/>
      <c r="C438" s="80"/>
      <c r="D438" s="80"/>
      <c r="E438" s="85">
        <v>440</v>
      </c>
      <c r="F438" s="112"/>
      <c r="G438" s="83" t="s">
        <v>680</v>
      </c>
      <c r="H438" s="86">
        <f>20700000+T438</f>
        <v>19900000</v>
      </c>
      <c r="I438" s="399"/>
      <c r="J438" s="399">
        <v>4000000</v>
      </c>
      <c r="K438" s="399"/>
      <c r="L438" s="386">
        <f>+H438+I438+J438+K438</f>
        <v>23900000</v>
      </c>
      <c r="M438" s="86">
        <v>16348410.37</v>
      </c>
      <c r="N438" s="86"/>
      <c r="O438" s="86">
        <v>4000000</v>
      </c>
      <c r="P438" s="86"/>
      <c r="Q438" s="86">
        <v>548.45</v>
      </c>
      <c r="R438" s="435">
        <f>+M438/H438*100</f>
        <v>82.15281592964824</v>
      </c>
      <c r="S438" s="52"/>
      <c r="T438" s="52">
        <f>-200000-600000</f>
        <v>-800000</v>
      </c>
      <c r="V438" s="52">
        <f t="shared" si="67"/>
        <v>3551041.1800000016</v>
      </c>
      <c r="AI438" s="52"/>
    </row>
    <row r="439" spans="1:35" ht="12">
      <c r="A439" s="80">
        <f>+A438+1</f>
        <v>90</v>
      </c>
      <c r="B439" s="80"/>
      <c r="C439" s="80"/>
      <c r="D439" s="80"/>
      <c r="E439" s="85">
        <v>611</v>
      </c>
      <c r="F439" s="112"/>
      <c r="G439" s="83" t="s">
        <v>555</v>
      </c>
      <c r="H439" s="86">
        <f>35700000+T439</f>
        <v>33250000</v>
      </c>
      <c r="I439" s="399"/>
      <c r="J439" s="399"/>
      <c r="K439" s="399"/>
      <c r="L439" s="386">
        <f>+H439+I439+J439+K439</f>
        <v>33250000</v>
      </c>
      <c r="M439" s="86">
        <v>29038137.51</v>
      </c>
      <c r="N439" s="86"/>
      <c r="O439" s="86"/>
      <c r="P439" s="86"/>
      <c r="Q439" s="86"/>
      <c r="R439" s="435">
        <f>+M439/H439*100</f>
        <v>87.33274439097744</v>
      </c>
      <c r="S439" s="52"/>
      <c r="T439" s="52">
        <f>-750000-700000-1000000</f>
        <v>-2450000</v>
      </c>
      <c r="V439" s="52">
        <f t="shared" si="67"/>
        <v>4211862.489999998</v>
      </c>
      <c r="AI439" s="52"/>
    </row>
    <row r="440" spans="1:35" ht="12">
      <c r="A440" s="12"/>
      <c r="B440" s="12"/>
      <c r="C440" s="12"/>
      <c r="D440" s="12"/>
      <c r="E440" s="3"/>
      <c r="F440" s="103"/>
      <c r="G440" s="3" t="s">
        <v>633</v>
      </c>
      <c r="H440" s="91">
        <f>SUM(H438:H439)</f>
        <v>53150000</v>
      </c>
      <c r="I440" s="91">
        <f>SUM(I438:I439)</f>
        <v>0</v>
      </c>
      <c r="J440" s="91">
        <f>SUM(J438:J439)</f>
        <v>4000000</v>
      </c>
      <c r="K440" s="91">
        <f>SUM(K438:K439)</f>
        <v>0</v>
      </c>
      <c r="L440" s="509">
        <f>+H440+I440+J440+K440</f>
        <v>57150000</v>
      </c>
      <c r="M440" s="508">
        <f>SUM(M438:M439)</f>
        <v>45386547.88</v>
      </c>
      <c r="N440" s="508"/>
      <c r="O440" s="508">
        <f>SUM(O438:O439)</f>
        <v>4000000</v>
      </c>
      <c r="P440" s="130">
        <f>SUM(P438:P439)</f>
        <v>0</v>
      </c>
      <c r="Q440" s="130">
        <f>SUM(Q438:Q439)</f>
        <v>548.45</v>
      </c>
      <c r="R440" s="435">
        <f>+M440/H440*100</f>
        <v>85.39331680150518</v>
      </c>
      <c r="S440" s="52"/>
      <c r="T440" s="52"/>
      <c r="V440" s="52">
        <f t="shared" si="67"/>
        <v>7762903.669999994</v>
      </c>
      <c r="AB440" s="52"/>
      <c r="AI440" s="52"/>
    </row>
    <row r="441" spans="1:35" ht="12">
      <c r="A441" s="148"/>
      <c r="B441" s="13"/>
      <c r="C441" s="13"/>
      <c r="D441" s="13"/>
      <c r="E441" s="15"/>
      <c r="F441" s="105"/>
      <c r="G441" s="39" t="s">
        <v>737</v>
      </c>
      <c r="I441" s="415"/>
      <c r="J441" s="415"/>
      <c r="K441" s="415"/>
      <c r="L441" s="415"/>
      <c r="M441" s="61"/>
      <c r="N441" s="61"/>
      <c r="O441" s="61"/>
      <c r="P441" s="61"/>
      <c r="Q441" s="61"/>
      <c r="R441" s="438"/>
      <c r="S441" s="52"/>
      <c r="T441" s="52"/>
      <c r="V441" s="52">
        <f t="shared" si="67"/>
        <v>0</v>
      </c>
      <c r="AI441" s="52"/>
    </row>
    <row r="442" spans="1:35" ht="12">
      <c r="A442" s="149"/>
      <c r="B442" s="2"/>
      <c r="C442" s="2"/>
      <c r="D442" s="2"/>
      <c r="E442" s="5"/>
      <c r="F442" s="151" t="s">
        <v>73</v>
      </c>
      <c r="G442" s="20" t="s">
        <v>674</v>
      </c>
      <c r="H442" s="10">
        <f>+H438+H439</f>
        <v>53150000</v>
      </c>
      <c r="I442" s="10"/>
      <c r="J442" s="10"/>
      <c r="K442" s="10"/>
      <c r="L442" s="71"/>
      <c r="M442" s="62">
        <f>+M438+M439</f>
        <v>45386547.88</v>
      </c>
      <c r="N442" s="62"/>
      <c r="O442" s="62"/>
      <c r="P442" s="62"/>
      <c r="Q442" s="62"/>
      <c r="R442" s="439"/>
      <c r="S442" s="52"/>
      <c r="T442" s="52"/>
      <c r="V442" s="52">
        <f t="shared" si="67"/>
        <v>7763452.119999997</v>
      </c>
      <c r="AC442" s="52"/>
      <c r="AD442" s="52"/>
      <c r="AI442" s="52"/>
    </row>
    <row r="443" spans="1:35" ht="12">
      <c r="A443" s="149"/>
      <c r="B443" s="2"/>
      <c r="C443" s="2"/>
      <c r="D443" s="2"/>
      <c r="E443" s="5"/>
      <c r="F443" s="17" t="s">
        <v>413</v>
      </c>
      <c r="G443" s="20" t="s">
        <v>767</v>
      </c>
      <c r="H443" s="10"/>
      <c r="I443" s="10"/>
      <c r="J443" s="10">
        <f>+J438</f>
        <v>4000000</v>
      </c>
      <c r="K443" s="10"/>
      <c r="L443" s="71"/>
      <c r="M443" s="62"/>
      <c r="N443" s="62"/>
      <c r="O443" s="62">
        <f>+O438</f>
        <v>4000000</v>
      </c>
      <c r="P443" s="62"/>
      <c r="Q443" s="62"/>
      <c r="R443" s="439"/>
      <c r="S443" s="52"/>
      <c r="T443" s="52"/>
      <c r="V443" s="52">
        <f t="shared" si="67"/>
        <v>0</v>
      </c>
      <c r="AC443" s="52"/>
      <c r="AD443" s="52"/>
      <c r="AI443" s="52"/>
    </row>
    <row r="444" spans="1:35" ht="12">
      <c r="A444" s="149"/>
      <c r="B444" s="2"/>
      <c r="C444" s="2"/>
      <c r="D444" s="2"/>
      <c r="E444" s="5"/>
      <c r="F444" s="151"/>
      <c r="G444" s="1" t="s">
        <v>738</v>
      </c>
      <c r="H444" s="10"/>
      <c r="I444" s="10"/>
      <c r="J444" s="10"/>
      <c r="K444" s="10"/>
      <c r="L444" s="62">
        <f>+H442+I442+J443</f>
        <v>57150000</v>
      </c>
      <c r="M444" s="62"/>
      <c r="N444" s="62"/>
      <c r="O444" s="62"/>
      <c r="P444" s="62"/>
      <c r="Q444" s="62"/>
      <c r="R444" s="439"/>
      <c r="S444" s="52"/>
      <c r="T444" s="52"/>
      <c r="V444" s="52">
        <f t="shared" si="67"/>
        <v>0</v>
      </c>
      <c r="AI444" s="52"/>
    </row>
    <row r="445" spans="1:35" ht="12">
      <c r="A445" s="149"/>
      <c r="B445" s="2"/>
      <c r="C445" s="2"/>
      <c r="D445" s="2"/>
      <c r="E445" s="5"/>
      <c r="F445" s="151"/>
      <c r="G445" s="1" t="s">
        <v>665</v>
      </c>
      <c r="H445" s="10"/>
      <c r="I445" s="10"/>
      <c r="J445" s="10"/>
      <c r="K445" s="10"/>
      <c r="L445" s="62"/>
      <c r="M445" s="62"/>
      <c r="N445" s="62"/>
      <c r="O445" s="62"/>
      <c r="P445" s="62"/>
      <c r="Q445" s="62"/>
      <c r="R445" s="439"/>
      <c r="S445" s="52"/>
      <c r="T445" s="52"/>
      <c r="V445" s="52">
        <f t="shared" si="67"/>
        <v>0</v>
      </c>
      <c r="AI445" s="52"/>
    </row>
    <row r="446" spans="1:35" ht="12">
      <c r="A446" s="149"/>
      <c r="B446" s="2"/>
      <c r="C446" s="2"/>
      <c r="D446" s="2"/>
      <c r="E446" s="5"/>
      <c r="F446" s="151" t="s">
        <v>73</v>
      </c>
      <c r="G446" s="20" t="s">
        <v>674</v>
      </c>
      <c r="H446" s="10">
        <f>+H442</f>
        <v>53150000</v>
      </c>
      <c r="I446" s="10"/>
      <c r="J446" s="10"/>
      <c r="K446" s="10"/>
      <c r="L446" s="71"/>
      <c r="M446" s="62">
        <f>+M442</f>
        <v>45386547.88</v>
      </c>
      <c r="N446" s="62"/>
      <c r="O446" s="62"/>
      <c r="P446" s="62"/>
      <c r="Q446" s="62"/>
      <c r="R446" s="439"/>
      <c r="S446" s="52"/>
      <c r="T446" s="52"/>
      <c r="V446" s="52">
        <f t="shared" si="67"/>
        <v>7763452.119999997</v>
      </c>
      <c r="AI446" s="52"/>
    </row>
    <row r="447" spans="1:35" ht="12">
      <c r="A447" s="149"/>
      <c r="B447" s="2"/>
      <c r="C447" s="2"/>
      <c r="D447" s="2"/>
      <c r="E447" s="5"/>
      <c r="F447" s="17" t="s">
        <v>413</v>
      </c>
      <c r="G447" s="20" t="s">
        <v>767</v>
      </c>
      <c r="H447" s="10"/>
      <c r="I447" s="10"/>
      <c r="J447" s="10">
        <f>+J443</f>
        <v>4000000</v>
      </c>
      <c r="K447" s="10"/>
      <c r="L447" s="71"/>
      <c r="M447" s="62"/>
      <c r="N447" s="62"/>
      <c r="O447" s="62">
        <f>+O443</f>
        <v>4000000</v>
      </c>
      <c r="P447" s="62"/>
      <c r="Q447" s="62"/>
      <c r="R447" s="439"/>
      <c r="S447" s="52"/>
      <c r="T447" s="52"/>
      <c r="V447" s="52">
        <f t="shared" si="67"/>
        <v>0</v>
      </c>
      <c r="AI447" s="52"/>
    </row>
    <row r="448" spans="1:35" ht="12">
      <c r="A448" s="150"/>
      <c r="B448" s="40"/>
      <c r="C448" s="40"/>
      <c r="D448" s="40"/>
      <c r="E448" s="19"/>
      <c r="F448" s="123"/>
      <c r="G448" s="90" t="s">
        <v>634</v>
      </c>
      <c r="H448" s="407"/>
      <c r="I448" s="407"/>
      <c r="J448" s="407"/>
      <c r="K448" s="407"/>
      <c r="L448" s="53">
        <f>+H446+I446+J447</f>
        <v>57150000</v>
      </c>
      <c r="M448" s="53"/>
      <c r="N448" s="53"/>
      <c r="O448" s="53"/>
      <c r="P448" s="53"/>
      <c r="Q448" s="53"/>
      <c r="R448" s="543">
        <f>+O447+M446</f>
        <v>49386547.88</v>
      </c>
      <c r="S448" s="52"/>
      <c r="T448" s="52"/>
      <c r="V448" s="52">
        <f t="shared" si="67"/>
        <v>0</v>
      </c>
      <c r="AI448" s="52"/>
    </row>
    <row r="449" spans="1:35" ht="12">
      <c r="A449" s="2"/>
      <c r="B449" s="2"/>
      <c r="C449" s="2"/>
      <c r="D449" s="2"/>
      <c r="E449" s="5"/>
      <c r="F449" s="104"/>
      <c r="G449" s="5"/>
      <c r="H449" s="10"/>
      <c r="I449" s="10"/>
      <c r="J449" s="10"/>
      <c r="K449" s="10"/>
      <c r="L449" s="10"/>
      <c r="M449" s="52"/>
      <c r="N449" s="52"/>
      <c r="O449" s="52"/>
      <c r="P449" s="52"/>
      <c r="Q449" s="52"/>
      <c r="S449" s="52"/>
      <c r="T449" s="52"/>
      <c r="V449" s="52">
        <f t="shared" si="67"/>
        <v>0</v>
      </c>
      <c r="AI449" s="52"/>
    </row>
    <row r="450" spans="1:35" ht="12">
      <c r="A450" s="80"/>
      <c r="B450" s="80"/>
      <c r="C450" s="80" t="s">
        <v>95</v>
      </c>
      <c r="D450" s="89"/>
      <c r="E450" s="83"/>
      <c r="F450" s="142"/>
      <c r="G450" s="82" t="s">
        <v>592</v>
      </c>
      <c r="H450" s="399"/>
      <c r="I450" s="399"/>
      <c r="J450" s="399"/>
      <c r="K450" s="399"/>
      <c r="L450" s="86"/>
      <c r="M450" s="86"/>
      <c r="N450" s="86"/>
      <c r="O450" s="86"/>
      <c r="P450" s="86"/>
      <c r="Q450" s="86"/>
      <c r="R450" s="435"/>
      <c r="S450" s="52"/>
      <c r="T450" s="52"/>
      <c r="V450" s="52">
        <f t="shared" si="67"/>
        <v>0</v>
      </c>
      <c r="AI450" s="52"/>
    </row>
    <row r="451" spans="1:35" ht="12">
      <c r="A451" s="80"/>
      <c r="B451" s="80"/>
      <c r="C451" s="80"/>
      <c r="D451" s="89">
        <v>421</v>
      </c>
      <c r="E451" s="83"/>
      <c r="F451" s="142"/>
      <c r="G451" s="82" t="s">
        <v>593</v>
      </c>
      <c r="H451" s="399"/>
      <c r="I451" s="399"/>
      <c r="J451" s="399"/>
      <c r="K451" s="399"/>
      <c r="L451" s="86"/>
      <c r="M451" s="86"/>
      <c r="N451" s="86"/>
      <c r="O451" s="86"/>
      <c r="P451" s="86"/>
      <c r="Q451" s="86"/>
      <c r="R451" s="435"/>
      <c r="S451" s="52"/>
      <c r="T451" s="52"/>
      <c r="V451" s="52">
        <f t="shared" si="67"/>
        <v>0</v>
      </c>
      <c r="AI451" s="52"/>
    </row>
    <row r="452" spans="1:35" ht="12">
      <c r="A452" s="80">
        <f>+A439+1</f>
        <v>91</v>
      </c>
      <c r="B452" s="80"/>
      <c r="C452" s="80"/>
      <c r="D452" s="88"/>
      <c r="E452" s="85">
        <v>463</v>
      </c>
      <c r="F452" s="112"/>
      <c r="G452" s="83" t="s">
        <v>557</v>
      </c>
      <c r="H452" s="399">
        <f>1000000+3000000</f>
        <v>4000000</v>
      </c>
      <c r="I452" s="399"/>
      <c r="J452" s="399"/>
      <c r="K452" s="399"/>
      <c r="L452" s="386">
        <f>+H452+I452+J452+K452</f>
        <v>4000000</v>
      </c>
      <c r="M452" s="86">
        <v>1271017.59</v>
      </c>
      <c r="N452" s="86"/>
      <c r="O452" s="86"/>
      <c r="P452" s="86"/>
      <c r="Q452" s="86">
        <v>30609</v>
      </c>
      <c r="R452" s="435">
        <f>+M452/H452*100</f>
        <v>31.77543975</v>
      </c>
      <c r="S452" s="52"/>
      <c r="T452" s="52"/>
      <c r="V452" s="52">
        <f t="shared" si="67"/>
        <v>2698373.41</v>
      </c>
      <c r="AI452" s="52"/>
    </row>
    <row r="453" spans="1:35" ht="12">
      <c r="A453" s="12"/>
      <c r="B453" s="12"/>
      <c r="C453" s="12"/>
      <c r="D453" s="12"/>
      <c r="E453" s="3"/>
      <c r="F453" s="103"/>
      <c r="G453" s="3" t="s">
        <v>635</v>
      </c>
      <c r="H453" s="91">
        <f aca="true" t="shared" si="70" ref="H453:Q453">SUM(H452)</f>
        <v>4000000</v>
      </c>
      <c r="I453" s="91">
        <f t="shared" si="70"/>
        <v>0</v>
      </c>
      <c r="J453" s="91">
        <f t="shared" si="70"/>
        <v>0</v>
      </c>
      <c r="K453" s="91">
        <f t="shared" si="70"/>
        <v>0</v>
      </c>
      <c r="L453" s="509">
        <f>+H453+I453+J453+K453</f>
        <v>4000000</v>
      </c>
      <c r="M453" s="508">
        <f t="shared" si="70"/>
        <v>1271017.59</v>
      </c>
      <c r="N453" s="508"/>
      <c r="O453" s="508">
        <f t="shared" si="70"/>
        <v>0</v>
      </c>
      <c r="P453" s="130">
        <f t="shared" si="70"/>
        <v>0</v>
      </c>
      <c r="Q453" s="130">
        <f t="shared" si="70"/>
        <v>30609</v>
      </c>
      <c r="R453" s="435">
        <f>+M453/H453*100</f>
        <v>31.77543975</v>
      </c>
      <c r="S453" s="52"/>
      <c r="T453" s="52"/>
      <c r="V453" s="52">
        <f t="shared" si="67"/>
        <v>2698373.41</v>
      </c>
      <c r="AB453" s="52"/>
      <c r="AI453" s="52"/>
    </row>
    <row r="454" spans="1:35" ht="12">
      <c r="A454" s="148"/>
      <c r="B454" s="13"/>
      <c r="C454" s="13"/>
      <c r="D454" s="13"/>
      <c r="E454" s="15"/>
      <c r="F454" s="105"/>
      <c r="G454" s="39" t="s">
        <v>739</v>
      </c>
      <c r="H454" s="415"/>
      <c r="I454" s="415"/>
      <c r="J454" s="415"/>
      <c r="K454" s="415"/>
      <c r="L454" s="415"/>
      <c r="M454" s="61"/>
      <c r="N454" s="61"/>
      <c r="O454" s="61"/>
      <c r="P454" s="61"/>
      <c r="Q454" s="61"/>
      <c r="R454" s="438"/>
      <c r="S454" s="52"/>
      <c r="T454" s="52"/>
      <c r="V454" s="52">
        <f t="shared" si="67"/>
        <v>0</v>
      </c>
      <c r="AI454" s="52"/>
    </row>
    <row r="455" spans="1:35" ht="12">
      <c r="A455" s="149"/>
      <c r="B455" s="2"/>
      <c r="C455" s="2"/>
      <c r="D455" s="2"/>
      <c r="E455" s="5"/>
      <c r="F455" s="151" t="s">
        <v>73</v>
      </c>
      <c r="G455" s="20" t="s">
        <v>674</v>
      </c>
      <c r="H455" s="10">
        <f>+H452</f>
        <v>4000000</v>
      </c>
      <c r="I455" s="10"/>
      <c r="J455" s="10"/>
      <c r="K455" s="10"/>
      <c r="L455" s="71"/>
      <c r="M455" s="62">
        <f>+M452</f>
        <v>1271017.59</v>
      </c>
      <c r="N455" s="62"/>
      <c r="O455" s="62"/>
      <c r="P455" s="62"/>
      <c r="Q455" s="62"/>
      <c r="R455" s="439"/>
      <c r="S455" s="52"/>
      <c r="T455" s="52"/>
      <c r="V455" s="52">
        <f t="shared" si="67"/>
        <v>2728982.41</v>
      </c>
      <c r="AC455" s="52"/>
      <c r="AD455" s="52"/>
      <c r="AI455" s="52"/>
    </row>
    <row r="456" spans="1:35" ht="12">
      <c r="A456" s="149"/>
      <c r="B456" s="2"/>
      <c r="C456" s="2"/>
      <c r="D456" s="2"/>
      <c r="E456" s="5"/>
      <c r="F456" s="151"/>
      <c r="G456" s="1" t="s">
        <v>740</v>
      </c>
      <c r="H456" s="10"/>
      <c r="I456" s="10"/>
      <c r="J456" s="10"/>
      <c r="K456" s="10"/>
      <c r="L456" s="62">
        <f>+H455+I455+J455</f>
        <v>4000000</v>
      </c>
      <c r="M456" s="62"/>
      <c r="N456" s="62"/>
      <c r="O456" s="62"/>
      <c r="P456" s="62"/>
      <c r="Q456" s="62"/>
      <c r="R456" s="439"/>
      <c r="S456" s="52"/>
      <c r="T456" s="52"/>
      <c r="V456" s="52">
        <f t="shared" si="67"/>
        <v>0</v>
      </c>
      <c r="AI456" s="52"/>
    </row>
    <row r="457" spans="1:35" ht="12">
      <c r="A457" s="149"/>
      <c r="B457" s="2"/>
      <c r="C457" s="2"/>
      <c r="D457" s="2"/>
      <c r="E457" s="5"/>
      <c r="F457" s="151"/>
      <c r="G457" s="1" t="s">
        <v>666</v>
      </c>
      <c r="H457" s="10"/>
      <c r="I457" s="10"/>
      <c r="J457" s="10"/>
      <c r="K457" s="10"/>
      <c r="L457" s="62"/>
      <c r="M457" s="62"/>
      <c r="N457" s="62"/>
      <c r="O457" s="62"/>
      <c r="P457" s="62"/>
      <c r="Q457" s="62"/>
      <c r="R457" s="439"/>
      <c r="S457" s="52"/>
      <c r="T457" s="52"/>
      <c r="V457" s="52">
        <f t="shared" si="67"/>
        <v>0</v>
      </c>
      <c r="AI457" s="52"/>
    </row>
    <row r="458" spans="1:35" ht="12">
      <c r="A458" s="149"/>
      <c r="B458" s="2"/>
      <c r="C458" s="2"/>
      <c r="D458" s="2"/>
      <c r="E458" s="5"/>
      <c r="F458" s="151" t="s">
        <v>73</v>
      </c>
      <c r="G458" s="20" t="s">
        <v>674</v>
      </c>
      <c r="H458" s="10">
        <f>+H455</f>
        <v>4000000</v>
      </c>
      <c r="I458" s="10"/>
      <c r="J458" s="10"/>
      <c r="K458" s="10"/>
      <c r="L458" s="71"/>
      <c r="M458" s="62">
        <f>+M455</f>
        <v>1271017.59</v>
      </c>
      <c r="N458" s="62"/>
      <c r="O458" s="62"/>
      <c r="P458" s="62"/>
      <c r="Q458" s="62"/>
      <c r="R458" s="439"/>
      <c r="S458" s="52"/>
      <c r="T458" s="52"/>
      <c r="V458" s="52">
        <f t="shared" si="67"/>
        <v>2728982.41</v>
      </c>
      <c r="AI458" s="52"/>
    </row>
    <row r="459" spans="1:35" ht="12">
      <c r="A459" s="150"/>
      <c r="B459" s="40"/>
      <c r="C459" s="40"/>
      <c r="D459" s="40"/>
      <c r="E459" s="19"/>
      <c r="F459" s="123"/>
      <c r="G459" s="90" t="s">
        <v>636</v>
      </c>
      <c r="H459" s="407"/>
      <c r="I459" s="407"/>
      <c r="J459" s="407"/>
      <c r="K459" s="407"/>
      <c r="L459" s="53">
        <f>H458+I458+J458</f>
        <v>4000000</v>
      </c>
      <c r="M459" s="53"/>
      <c r="N459" s="53"/>
      <c r="O459" s="53"/>
      <c r="P459" s="53"/>
      <c r="Q459" s="53"/>
      <c r="R459" s="543">
        <f>+M458</f>
        <v>1271017.59</v>
      </c>
      <c r="S459" s="52"/>
      <c r="T459" s="52"/>
      <c r="V459" s="52">
        <f t="shared" si="67"/>
        <v>0</v>
      </c>
      <c r="AI459" s="52"/>
    </row>
    <row r="460" spans="13:35" ht="12">
      <c r="M460" s="52"/>
      <c r="N460" s="52"/>
      <c r="O460" s="52"/>
      <c r="P460" s="52"/>
      <c r="Q460" s="52"/>
      <c r="S460" s="52"/>
      <c r="T460" s="52"/>
      <c r="V460" s="52">
        <f t="shared" si="67"/>
        <v>0</v>
      </c>
      <c r="AI460" s="52"/>
    </row>
    <row r="461" spans="1:35" ht="36">
      <c r="A461" s="81"/>
      <c r="B461" s="81"/>
      <c r="C461" s="84" t="s">
        <v>414</v>
      </c>
      <c r="D461" s="81"/>
      <c r="E461" s="81"/>
      <c r="F461" s="111"/>
      <c r="G461" s="506" t="s">
        <v>792</v>
      </c>
      <c r="H461" s="81"/>
      <c r="I461" s="81"/>
      <c r="J461" s="388"/>
      <c r="K461" s="388"/>
      <c r="L461" s="81"/>
      <c r="M461" s="86"/>
      <c r="N461" s="86"/>
      <c r="O461" s="86"/>
      <c r="P461" s="86"/>
      <c r="Q461" s="86"/>
      <c r="R461" s="435"/>
      <c r="S461" s="52"/>
      <c r="T461" s="52"/>
      <c r="V461" s="52">
        <f t="shared" si="67"/>
        <v>0</v>
      </c>
      <c r="AI461" s="52"/>
    </row>
    <row r="462" spans="1:35" ht="12">
      <c r="A462" s="81"/>
      <c r="B462" s="81"/>
      <c r="C462" s="81"/>
      <c r="D462" s="84">
        <v>421</v>
      </c>
      <c r="E462" s="81"/>
      <c r="F462" s="111"/>
      <c r="G462" s="92" t="s">
        <v>593</v>
      </c>
      <c r="H462" s="81"/>
      <c r="I462" s="81"/>
      <c r="J462" s="388"/>
      <c r="K462" s="388"/>
      <c r="L462" s="81"/>
      <c r="M462" s="86"/>
      <c r="N462" s="86"/>
      <c r="O462" s="86"/>
      <c r="P462" s="86"/>
      <c r="Q462" s="86"/>
      <c r="R462" s="435"/>
      <c r="S462" s="52"/>
      <c r="T462" s="52"/>
      <c r="V462" s="52">
        <f t="shared" si="67"/>
        <v>0</v>
      </c>
      <c r="AI462" s="52"/>
    </row>
    <row r="463" spans="1:35" ht="12">
      <c r="A463" s="81" t="s">
        <v>415</v>
      </c>
      <c r="B463" s="81"/>
      <c r="C463" s="81"/>
      <c r="D463" s="81"/>
      <c r="E463" s="507">
        <v>511</v>
      </c>
      <c r="F463" s="111"/>
      <c r="G463" s="81" t="s">
        <v>534</v>
      </c>
      <c r="H463" s="86">
        <v>5935000</v>
      </c>
      <c r="I463" s="86"/>
      <c r="J463" s="86">
        <v>90888</v>
      </c>
      <c r="K463" s="86"/>
      <c r="L463" s="86">
        <f>H463+J463</f>
        <v>6025888</v>
      </c>
      <c r="M463" s="86">
        <v>0</v>
      </c>
      <c r="N463" s="86"/>
      <c r="O463" s="86"/>
      <c r="P463" s="86"/>
      <c r="Q463" s="86"/>
      <c r="R463" s="435">
        <v>0</v>
      </c>
      <c r="S463" s="52"/>
      <c r="T463" s="52"/>
      <c r="V463" s="52">
        <f t="shared" si="67"/>
        <v>5935000</v>
      </c>
      <c r="AI463" s="52"/>
    </row>
    <row r="464" spans="1:35" ht="12">
      <c r="A464" s="81"/>
      <c r="B464" s="81"/>
      <c r="C464" s="81"/>
      <c r="D464" s="81"/>
      <c r="E464" s="81"/>
      <c r="F464" s="111"/>
      <c r="G464" s="92" t="s">
        <v>637</v>
      </c>
      <c r="H464" s="419">
        <f>+H463</f>
        <v>5935000</v>
      </c>
      <c r="I464" s="419">
        <f>+I463</f>
        <v>0</v>
      </c>
      <c r="J464" s="419">
        <f>+J463</f>
        <v>90888</v>
      </c>
      <c r="K464" s="419">
        <f>+K463</f>
        <v>0</v>
      </c>
      <c r="L464" s="419">
        <f>SUM(H464:K464)</f>
        <v>6025888</v>
      </c>
      <c r="M464" s="419">
        <v>0</v>
      </c>
      <c r="N464" s="419"/>
      <c r="O464" s="419"/>
      <c r="P464" s="86"/>
      <c r="Q464" s="86"/>
      <c r="R464" s="435">
        <v>0</v>
      </c>
      <c r="S464" s="52"/>
      <c r="T464" s="52"/>
      <c r="V464" s="52">
        <f t="shared" si="67"/>
        <v>5935000</v>
      </c>
      <c r="AI464" s="52"/>
    </row>
    <row r="465" spans="1:35" ht="12">
      <c r="A465" s="144"/>
      <c r="B465" s="71"/>
      <c r="C465" s="71"/>
      <c r="D465" s="71"/>
      <c r="E465" s="71"/>
      <c r="F465" s="105"/>
      <c r="G465" s="39" t="s">
        <v>739</v>
      </c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439"/>
      <c r="S465" s="52"/>
      <c r="T465" s="52"/>
      <c r="V465" s="52">
        <f t="shared" si="67"/>
        <v>0</v>
      </c>
      <c r="AI465" s="52"/>
    </row>
    <row r="466" spans="1:35" ht="12">
      <c r="A466" s="144"/>
      <c r="B466" s="71"/>
      <c r="C466" s="71"/>
      <c r="D466" s="71"/>
      <c r="E466" s="71"/>
      <c r="F466" s="151" t="s">
        <v>73</v>
      </c>
      <c r="G466" s="20" t="s">
        <v>674</v>
      </c>
      <c r="H466" s="62">
        <f>+H464</f>
        <v>5935000</v>
      </c>
      <c r="I466" s="62"/>
      <c r="J466" s="62"/>
      <c r="K466" s="62"/>
      <c r="L466" s="62"/>
      <c r="M466" s="62"/>
      <c r="N466" s="62"/>
      <c r="O466" s="62"/>
      <c r="P466" s="62"/>
      <c r="Q466" s="62"/>
      <c r="R466" s="439"/>
      <c r="S466" s="52"/>
      <c r="T466" s="52"/>
      <c r="V466" s="52">
        <f t="shared" si="67"/>
        <v>5935000</v>
      </c>
      <c r="AI466" s="52"/>
    </row>
    <row r="467" spans="1:35" ht="12">
      <c r="A467" s="144"/>
      <c r="B467" s="71"/>
      <c r="C467" s="71"/>
      <c r="D467" s="71"/>
      <c r="E467" s="71"/>
      <c r="F467" s="17" t="s">
        <v>413</v>
      </c>
      <c r="G467" s="20" t="s">
        <v>767</v>
      </c>
      <c r="H467" s="62"/>
      <c r="I467" s="62"/>
      <c r="J467" s="62">
        <f>+J464</f>
        <v>90888</v>
      </c>
      <c r="K467" s="62"/>
      <c r="L467" s="62"/>
      <c r="M467" s="62"/>
      <c r="N467" s="62"/>
      <c r="O467" s="62"/>
      <c r="P467" s="62"/>
      <c r="Q467" s="62"/>
      <c r="R467" s="439"/>
      <c r="S467" s="52"/>
      <c r="T467" s="52"/>
      <c r="V467" s="52">
        <f t="shared" si="67"/>
        <v>0</v>
      </c>
      <c r="AI467" s="52"/>
    </row>
    <row r="468" spans="1:35" ht="12">
      <c r="A468" s="144"/>
      <c r="B468" s="71"/>
      <c r="C468" s="71"/>
      <c r="D468" s="71"/>
      <c r="E468" s="71"/>
      <c r="F468" s="151"/>
      <c r="G468" s="1" t="s">
        <v>740</v>
      </c>
      <c r="H468" s="62"/>
      <c r="I468" s="62"/>
      <c r="J468" s="62"/>
      <c r="K468" s="62"/>
      <c r="L468" s="62">
        <f>+J467+K466+I466+H466</f>
        <v>6025888</v>
      </c>
      <c r="M468" s="62"/>
      <c r="N468" s="62"/>
      <c r="O468" s="62"/>
      <c r="P468" s="62"/>
      <c r="Q468" s="62"/>
      <c r="R468" s="439"/>
      <c r="S468" s="52"/>
      <c r="T468" s="52"/>
      <c r="V468" s="52">
        <f t="shared" si="67"/>
        <v>0</v>
      </c>
      <c r="AI468" s="52"/>
    </row>
    <row r="469" spans="1:35" ht="12">
      <c r="A469" s="144"/>
      <c r="B469" s="71"/>
      <c r="C469" s="71"/>
      <c r="D469" s="71"/>
      <c r="E469" s="71"/>
      <c r="F469" s="151"/>
      <c r="G469" s="1" t="s">
        <v>667</v>
      </c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439"/>
      <c r="S469" s="52"/>
      <c r="T469" s="52"/>
      <c r="V469" s="52">
        <f t="shared" si="67"/>
        <v>0</v>
      </c>
      <c r="AI469" s="52"/>
    </row>
    <row r="470" spans="1:35" ht="12">
      <c r="A470" s="144"/>
      <c r="B470" s="71"/>
      <c r="C470" s="71"/>
      <c r="D470" s="71"/>
      <c r="E470" s="71"/>
      <c r="F470" s="151" t="s">
        <v>73</v>
      </c>
      <c r="G470" s="20" t="s">
        <v>674</v>
      </c>
      <c r="H470" s="62">
        <f>+H466</f>
        <v>5935000</v>
      </c>
      <c r="I470" s="62"/>
      <c r="J470" s="62"/>
      <c r="K470" s="62"/>
      <c r="L470" s="62"/>
      <c r="M470" s="62">
        <f>+M464</f>
        <v>0</v>
      </c>
      <c r="N470" s="62"/>
      <c r="O470" s="62"/>
      <c r="P470" s="62"/>
      <c r="Q470" s="62"/>
      <c r="R470" s="439"/>
      <c r="S470" s="52"/>
      <c r="T470" s="52"/>
      <c r="V470" s="52">
        <f t="shared" si="67"/>
        <v>5935000</v>
      </c>
      <c r="AI470" s="52"/>
    </row>
    <row r="471" spans="1:35" ht="12">
      <c r="A471" s="144"/>
      <c r="B471" s="71"/>
      <c r="C471" s="71"/>
      <c r="D471" s="71"/>
      <c r="E471" s="71"/>
      <c r="F471" s="17" t="s">
        <v>413</v>
      </c>
      <c r="G471" s="20" t="s">
        <v>767</v>
      </c>
      <c r="H471" s="62"/>
      <c r="I471" s="62"/>
      <c r="J471" s="62">
        <f>+J467</f>
        <v>90888</v>
      </c>
      <c r="K471" s="62"/>
      <c r="L471" s="62"/>
      <c r="M471" s="62"/>
      <c r="N471" s="62"/>
      <c r="O471" s="62"/>
      <c r="P471" s="62"/>
      <c r="Q471" s="62"/>
      <c r="R471" s="439"/>
      <c r="S471" s="52"/>
      <c r="T471" s="52"/>
      <c r="V471" s="52">
        <f t="shared" si="67"/>
        <v>0</v>
      </c>
      <c r="AI471" s="52"/>
    </row>
    <row r="472" spans="1:35" ht="12">
      <c r="A472" s="145"/>
      <c r="B472" s="68"/>
      <c r="C472" s="68"/>
      <c r="D472" s="68"/>
      <c r="E472" s="68"/>
      <c r="F472" s="123"/>
      <c r="G472" s="90" t="s">
        <v>638</v>
      </c>
      <c r="H472" s="68"/>
      <c r="I472" s="68"/>
      <c r="J472" s="391"/>
      <c r="K472" s="391"/>
      <c r="L472" s="53">
        <f>+K470+J471+I470+H470</f>
        <v>6025888</v>
      </c>
      <c r="M472" s="53"/>
      <c r="N472" s="53"/>
      <c r="O472" s="53"/>
      <c r="P472" s="53"/>
      <c r="Q472" s="53"/>
      <c r="R472" s="543">
        <f>+M470</f>
        <v>0</v>
      </c>
      <c r="S472" s="52"/>
      <c r="T472" s="52"/>
      <c r="V472" s="52">
        <f t="shared" si="67"/>
        <v>0</v>
      </c>
      <c r="AI472" s="52"/>
    </row>
    <row r="473" spans="13:35" ht="12">
      <c r="M473" s="52"/>
      <c r="N473" s="52"/>
      <c r="O473" s="52"/>
      <c r="P473" s="52"/>
      <c r="Q473" s="52"/>
      <c r="S473" s="52"/>
      <c r="T473" s="52"/>
      <c r="V473" s="52">
        <f aca="true" t="shared" si="71" ref="V473:V536">+H473-(M473+Q473)</f>
        <v>0</v>
      </c>
      <c r="AI473" s="52"/>
    </row>
    <row r="474" spans="1:35" ht="12">
      <c r="A474" s="80"/>
      <c r="B474" s="80"/>
      <c r="C474" s="80" t="s">
        <v>96</v>
      </c>
      <c r="D474" s="88"/>
      <c r="E474" s="85"/>
      <c r="F474" s="112"/>
      <c r="G474" s="82" t="s">
        <v>793</v>
      </c>
      <c r="H474" s="399"/>
      <c r="I474" s="399"/>
      <c r="J474" s="399"/>
      <c r="K474" s="399"/>
      <c r="L474" s="86"/>
      <c r="M474" s="86"/>
      <c r="N474" s="86"/>
      <c r="O474" s="86"/>
      <c r="P474" s="86"/>
      <c r="Q474" s="86"/>
      <c r="R474" s="435"/>
      <c r="S474" s="52"/>
      <c r="T474" s="52"/>
      <c r="V474" s="52">
        <f t="shared" si="71"/>
        <v>0</v>
      </c>
      <c r="AI474" s="52"/>
    </row>
    <row r="475" spans="1:35" ht="12">
      <c r="A475" s="80"/>
      <c r="B475" s="80"/>
      <c r="C475" s="80"/>
      <c r="D475" s="89">
        <v>500</v>
      </c>
      <c r="E475" s="85"/>
      <c r="F475" s="112"/>
      <c r="G475" s="82" t="s">
        <v>794</v>
      </c>
      <c r="H475" s="399"/>
      <c r="I475" s="399"/>
      <c r="J475" s="399"/>
      <c r="K475" s="399"/>
      <c r="L475" s="86"/>
      <c r="M475" s="86"/>
      <c r="N475" s="86"/>
      <c r="O475" s="86"/>
      <c r="P475" s="86"/>
      <c r="Q475" s="86"/>
      <c r="R475" s="435"/>
      <c r="S475" s="52"/>
      <c r="T475" s="52"/>
      <c r="V475" s="52">
        <f t="shared" si="71"/>
        <v>0</v>
      </c>
      <c r="AI475" s="52"/>
    </row>
    <row r="476" spans="1:35" ht="12">
      <c r="A476" s="80">
        <f>+A452+1</f>
        <v>92</v>
      </c>
      <c r="B476" s="80"/>
      <c r="C476" s="80"/>
      <c r="D476" s="88"/>
      <c r="E476" s="85">
        <v>424</v>
      </c>
      <c r="F476" s="112"/>
      <c r="G476" s="83" t="s">
        <v>554</v>
      </c>
      <c r="H476" s="399">
        <v>0</v>
      </c>
      <c r="I476" s="399"/>
      <c r="J476" s="399">
        <f>22328+4136224</f>
        <v>4158552</v>
      </c>
      <c r="K476" s="399"/>
      <c r="L476" s="386">
        <f>+H476+I476+J476+K476</f>
        <v>4158552</v>
      </c>
      <c r="M476" s="86">
        <v>0</v>
      </c>
      <c r="N476" s="86"/>
      <c r="O476" s="86">
        <v>1475000</v>
      </c>
      <c r="P476" s="86"/>
      <c r="Q476" s="86"/>
      <c r="R476" s="435">
        <v>0</v>
      </c>
      <c r="S476" s="52"/>
      <c r="T476" s="52"/>
      <c r="V476" s="52">
        <f t="shared" si="71"/>
        <v>0</v>
      </c>
      <c r="AI476" s="52"/>
    </row>
    <row r="477" spans="1:35" ht="12">
      <c r="A477" s="80">
        <f>+A476+1</f>
        <v>93</v>
      </c>
      <c r="B477" s="80"/>
      <c r="C477" s="80"/>
      <c r="D477" s="88"/>
      <c r="E477" s="85">
        <v>511</v>
      </c>
      <c r="F477" s="112"/>
      <c r="G477" s="83" t="s">
        <v>601</v>
      </c>
      <c r="H477" s="399">
        <v>0</v>
      </c>
      <c r="I477" s="399"/>
      <c r="J477" s="399"/>
      <c r="K477" s="399"/>
      <c r="L477" s="386">
        <f>+H477+I477+J477+K477</f>
        <v>0</v>
      </c>
      <c r="M477" s="86">
        <v>0</v>
      </c>
      <c r="N477" s="86"/>
      <c r="O477" s="86"/>
      <c r="P477" s="86"/>
      <c r="Q477" s="86"/>
      <c r="R477" s="435">
        <v>0</v>
      </c>
      <c r="S477" s="52"/>
      <c r="T477" s="52"/>
      <c r="V477" s="52">
        <f t="shared" si="71"/>
        <v>0</v>
      </c>
      <c r="AI477" s="52"/>
    </row>
    <row r="478" spans="1:35" ht="12">
      <c r="A478" s="12"/>
      <c r="B478" s="12"/>
      <c r="C478" s="12"/>
      <c r="D478" s="12"/>
      <c r="E478" s="3"/>
      <c r="F478" s="103"/>
      <c r="G478" s="3" t="s">
        <v>639</v>
      </c>
      <c r="H478" s="91">
        <f aca="true" t="shared" si="72" ref="H478:Q478">SUM(H476:H477)</f>
        <v>0</v>
      </c>
      <c r="I478" s="91">
        <f t="shared" si="72"/>
        <v>0</v>
      </c>
      <c r="J478" s="91">
        <f t="shared" si="72"/>
        <v>4158552</v>
      </c>
      <c r="K478" s="91">
        <f t="shared" si="72"/>
        <v>0</v>
      </c>
      <c r="L478" s="509">
        <f>+H478+I478+J478+K478</f>
        <v>4158552</v>
      </c>
      <c r="M478" s="508">
        <f t="shared" si="72"/>
        <v>0</v>
      </c>
      <c r="N478" s="508"/>
      <c r="O478" s="508">
        <f t="shared" si="72"/>
        <v>1475000</v>
      </c>
      <c r="P478" s="130">
        <f t="shared" si="72"/>
        <v>0</v>
      </c>
      <c r="Q478" s="130">
        <f t="shared" si="72"/>
        <v>0</v>
      </c>
      <c r="R478" s="436">
        <v>0</v>
      </c>
      <c r="S478" s="52"/>
      <c r="T478" s="52"/>
      <c r="V478" s="52">
        <f t="shared" si="71"/>
        <v>0</v>
      </c>
      <c r="AB478" s="52"/>
      <c r="AI478" s="52"/>
    </row>
    <row r="479" spans="1:35" ht="12">
      <c r="A479" s="148"/>
      <c r="B479" s="13"/>
      <c r="C479" s="13"/>
      <c r="D479" s="13"/>
      <c r="E479" s="15"/>
      <c r="F479" s="105"/>
      <c r="G479" s="39" t="s">
        <v>741</v>
      </c>
      <c r="H479" s="415"/>
      <c r="I479" s="415"/>
      <c r="J479" s="415"/>
      <c r="K479" s="415"/>
      <c r="L479" s="415"/>
      <c r="M479" s="61"/>
      <c r="N479" s="61"/>
      <c r="O479" s="61"/>
      <c r="P479" s="61"/>
      <c r="Q479" s="61"/>
      <c r="R479" s="438"/>
      <c r="S479" s="52"/>
      <c r="T479" s="52"/>
      <c r="V479" s="52">
        <f t="shared" si="71"/>
        <v>0</v>
      </c>
      <c r="AI479" s="52"/>
    </row>
    <row r="480" spans="1:35" ht="12">
      <c r="A480" s="149"/>
      <c r="B480" s="2"/>
      <c r="C480" s="2"/>
      <c r="D480" s="2"/>
      <c r="E480" s="5"/>
      <c r="F480" s="151" t="s">
        <v>73</v>
      </c>
      <c r="G480" s="20" t="s">
        <v>674</v>
      </c>
      <c r="H480" s="10">
        <f>+H476+H477</f>
        <v>0</v>
      </c>
      <c r="I480" s="10"/>
      <c r="J480" s="10"/>
      <c r="K480" s="10"/>
      <c r="L480" s="71"/>
      <c r="M480" s="62">
        <f>+M476+M477</f>
        <v>0</v>
      </c>
      <c r="N480" s="62"/>
      <c r="O480" s="62"/>
      <c r="P480" s="62"/>
      <c r="Q480" s="62"/>
      <c r="R480" s="439"/>
      <c r="S480" s="52"/>
      <c r="T480" s="52"/>
      <c r="V480" s="52">
        <f t="shared" si="71"/>
        <v>0</v>
      </c>
      <c r="AC480" s="52"/>
      <c r="AD480" s="52"/>
      <c r="AI480" s="52"/>
    </row>
    <row r="481" spans="1:35" ht="12">
      <c r="A481" s="149"/>
      <c r="B481" s="2"/>
      <c r="C481" s="2"/>
      <c r="D481" s="2"/>
      <c r="E481" s="5"/>
      <c r="F481" s="17" t="s">
        <v>413</v>
      </c>
      <c r="G481" s="20" t="s">
        <v>767</v>
      </c>
      <c r="H481" s="10"/>
      <c r="I481" s="10"/>
      <c r="J481" s="10">
        <f>+J476-22328</f>
        <v>4136224</v>
      </c>
      <c r="K481" s="10"/>
      <c r="L481" s="71"/>
      <c r="M481" s="62"/>
      <c r="N481" s="62"/>
      <c r="O481" s="62">
        <f>+O478</f>
        <v>1475000</v>
      </c>
      <c r="P481" s="62"/>
      <c r="Q481" s="62"/>
      <c r="R481" s="439"/>
      <c r="S481" s="52"/>
      <c r="T481" s="52"/>
      <c r="V481" s="52">
        <f t="shared" si="71"/>
        <v>0</v>
      </c>
      <c r="AC481" s="52"/>
      <c r="AD481" s="52"/>
      <c r="AI481" s="52"/>
    </row>
    <row r="482" spans="1:35" ht="12">
      <c r="A482" s="149"/>
      <c r="B482" s="2"/>
      <c r="C482" s="2"/>
      <c r="D482" s="2"/>
      <c r="E482" s="5"/>
      <c r="F482" s="151" t="s">
        <v>353</v>
      </c>
      <c r="G482" s="20" t="s">
        <v>776</v>
      </c>
      <c r="H482" s="10"/>
      <c r="I482" s="10"/>
      <c r="J482" s="10">
        <f>+J478-4136224</f>
        <v>22328</v>
      </c>
      <c r="K482" s="10"/>
      <c r="L482" s="71"/>
      <c r="M482" s="62"/>
      <c r="N482" s="62"/>
      <c r="O482" s="62"/>
      <c r="P482" s="62"/>
      <c r="Q482" s="62"/>
      <c r="R482" s="439"/>
      <c r="S482" s="52"/>
      <c r="T482" s="52"/>
      <c r="V482" s="52">
        <f t="shared" si="71"/>
        <v>0</v>
      </c>
      <c r="AC482" s="52"/>
      <c r="AD482" s="52"/>
      <c r="AI482" s="52"/>
    </row>
    <row r="483" spans="1:35" ht="12">
      <c r="A483" s="149"/>
      <c r="B483" s="2"/>
      <c r="C483" s="2"/>
      <c r="D483" s="2"/>
      <c r="E483" s="5"/>
      <c r="F483" s="151"/>
      <c r="G483" s="1" t="s">
        <v>742</v>
      </c>
      <c r="H483" s="10"/>
      <c r="I483" s="10"/>
      <c r="J483" s="10"/>
      <c r="K483" s="10"/>
      <c r="L483" s="62">
        <f>H480+I480+J481+J482</f>
        <v>4158552</v>
      </c>
      <c r="M483" s="62"/>
      <c r="N483" s="62"/>
      <c r="O483" s="62"/>
      <c r="P483" s="62"/>
      <c r="Q483" s="62"/>
      <c r="R483" s="439"/>
      <c r="S483" s="52"/>
      <c r="T483" s="52"/>
      <c r="V483" s="52">
        <f t="shared" si="71"/>
        <v>0</v>
      </c>
      <c r="AI483" s="52"/>
    </row>
    <row r="484" spans="1:35" ht="12">
      <c r="A484" s="149"/>
      <c r="B484" s="2"/>
      <c r="C484" s="2"/>
      <c r="D484" s="2"/>
      <c r="E484" s="5"/>
      <c r="F484" s="151"/>
      <c r="G484" s="1" t="s">
        <v>668</v>
      </c>
      <c r="H484" s="10"/>
      <c r="I484" s="10"/>
      <c r="J484" s="10"/>
      <c r="K484" s="10"/>
      <c r="L484" s="62"/>
      <c r="M484" s="62"/>
      <c r="N484" s="62"/>
      <c r="O484" s="62"/>
      <c r="P484" s="62"/>
      <c r="Q484" s="62"/>
      <c r="R484" s="439"/>
      <c r="S484" s="52"/>
      <c r="T484" s="52"/>
      <c r="V484" s="52">
        <f t="shared" si="71"/>
        <v>0</v>
      </c>
      <c r="AI484" s="52"/>
    </row>
    <row r="485" spans="1:35" ht="12">
      <c r="A485" s="149"/>
      <c r="B485" s="2"/>
      <c r="C485" s="2"/>
      <c r="D485" s="2"/>
      <c r="E485" s="5"/>
      <c r="F485" s="151" t="s">
        <v>73</v>
      </c>
      <c r="G485" s="20" t="s">
        <v>674</v>
      </c>
      <c r="H485" s="10">
        <f>+H480</f>
        <v>0</v>
      </c>
      <c r="I485" s="10"/>
      <c r="J485" s="10"/>
      <c r="K485" s="10"/>
      <c r="L485" s="71"/>
      <c r="M485" s="62">
        <f>+M480</f>
        <v>0</v>
      </c>
      <c r="N485" s="62"/>
      <c r="O485" s="62"/>
      <c r="P485" s="62"/>
      <c r="Q485" s="62"/>
      <c r="R485" s="439"/>
      <c r="S485" s="52"/>
      <c r="T485" s="52"/>
      <c r="V485" s="52">
        <f t="shared" si="71"/>
        <v>0</v>
      </c>
      <c r="AI485" s="52"/>
    </row>
    <row r="486" spans="1:35" ht="12">
      <c r="A486" s="149"/>
      <c r="B486" s="2"/>
      <c r="C486" s="2"/>
      <c r="D486" s="2"/>
      <c r="E486" s="5"/>
      <c r="F486" s="17" t="s">
        <v>413</v>
      </c>
      <c r="G486" s="20" t="s">
        <v>767</v>
      </c>
      <c r="H486" s="10"/>
      <c r="I486" s="10"/>
      <c r="J486" s="10">
        <f>+J481</f>
        <v>4136224</v>
      </c>
      <c r="K486" s="10"/>
      <c r="L486" s="71"/>
      <c r="M486" s="62"/>
      <c r="N486" s="62"/>
      <c r="O486" s="62">
        <f>+O481</f>
        <v>1475000</v>
      </c>
      <c r="P486" s="62"/>
      <c r="Q486" s="62"/>
      <c r="R486" s="439"/>
      <c r="S486" s="52"/>
      <c r="T486" s="52"/>
      <c r="V486" s="52">
        <f t="shared" si="71"/>
        <v>0</v>
      </c>
      <c r="AI486" s="52"/>
    </row>
    <row r="487" spans="1:35" ht="12">
      <c r="A487" s="149"/>
      <c r="B487" s="2"/>
      <c r="C487" s="2"/>
      <c r="D487" s="2"/>
      <c r="E487" s="5"/>
      <c r="F487" s="151" t="s">
        <v>353</v>
      </c>
      <c r="G487" s="20" t="s">
        <v>776</v>
      </c>
      <c r="H487" s="10"/>
      <c r="I487" s="10"/>
      <c r="J487" s="10">
        <f>+J482</f>
        <v>22328</v>
      </c>
      <c r="K487" s="10"/>
      <c r="L487" s="71"/>
      <c r="M487" s="62"/>
      <c r="N487" s="62"/>
      <c r="O487" s="62"/>
      <c r="P487" s="62"/>
      <c r="Q487" s="62"/>
      <c r="R487" s="439"/>
      <c r="S487" s="52"/>
      <c r="T487" s="52"/>
      <c r="V487" s="52">
        <f t="shared" si="71"/>
        <v>0</v>
      </c>
      <c r="AI487" s="52"/>
    </row>
    <row r="488" spans="1:35" ht="12">
      <c r="A488" s="150"/>
      <c r="B488" s="40"/>
      <c r="C488" s="40"/>
      <c r="D488" s="40"/>
      <c r="E488" s="19"/>
      <c r="F488" s="123"/>
      <c r="G488" s="90" t="s">
        <v>640</v>
      </c>
      <c r="H488" s="407"/>
      <c r="I488" s="407"/>
      <c r="J488" s="407"/>
      <c r="K488" s="407"/>
      <c r="L488" s="53"/>
      <c r="M488" s="53"/>
      <c r="N488" s="53"/>
      <c r="O488" s="53"/>
      <c r="P488" s="53"/>
      <c r="Q488" s="53"/>
      <c r="R488" s="543">
        <f>+M485+O486</f>
        <v>1475000</v>
      </c>
      <c r="S488" s="52"/>
      <c r="T488" s="52"/>
      <c r="V488" s="52">
        <f t="shared" si="71"/>
        <v>0</v>
      </c>
      <c r="AI488" s="52"/>
    </row>
    <row r="489" spans="1:35" ht="12">
      <c r="A489" s="2"/>
      <c r="B489" s="2"/>
      <c r="C489" s="2"/>
      <c r="D489" s="2"/>
      <c r="E489" s="5"/>
      <c r="F489" s="104"/>
      <c r="G489" s="5"/>
      <c r="H489" s="10"/>
      <c r="I489" s="10"/>
      <c r="J489" s="10"/>
      <c r="K489" s="10"/>
      <c r="L489" s="10"/>
      <c r="M489" s="52"/>
      <c r="N489" s="52"/>
      <c r="O489" s="52"/>
      <c r="P489" s="52"/>
      <c r="Q489" s="52"/>
      <c r="S489" s="52"/>
      <c r="T489" s="52"/>
      <c r="V489" s="52">
        <f t="shared" si="71"/>
        <v>0</v>
      </c>
      <c r="AI489" s="52"/>
    </row>
    <row r="490" spans="1:35" ht="12">
      <c r="A490" s="83"/>
      <c r="B490" s="83"/>
      <c r="C490" s="80" t="s">
        <v>97</v>
      </c>
      <c r="D490" s="80"/>
      <c r="E490" s="85"/>
      <c r="F490" s="112"/>
      <c r="G490" s="94" t="s">
        <v>795</v>
      </c>
      <c r="H490" s="399"/>
      <c r="I490" s="399"/>
      <c r="J490" s="399"/>
      <c r="K490" s="399"/>
      <c r="L490" s="86"/>
      <c r="M490" s="86"/>
      <c r="N490" s="86"/>
      <c r="O490" s="86"/>
      <c r="P490" s="86"/>
      <c r="Q490" s="86"/>
      <c r="R490" s="435"/>
      <c r="S490" s="52"/>
      <c r="T490" s="52"/>
      <c r="V490" s="52">
        <f t="shared" si="71"/>
        <v>0</v>
      </c>
      <c r="AI490" s="52"/>
    </row>
    <row r="491" spans="1:35" ht="12">
      <c r="A491" s="80"/>
      <c r="B491" s="83"/>
      <c r="C491" s="83"/>
      <c r="D491" s="125" t="s">
        <v>328</v>
      </c>
      <c r="E491" s="85"/>
      <c r="F491" s="112"/>
      <c r="G491" s="91" t="s">
        <v>602</v>
      </c>
      <c r="H491" s="399"/>
      <c r="I491" s="399"/>
      <c r="J491" s="399"/>
      <c r="K491" s="399"/>
      <c r="L491" s="86"/>
      <c r="M491" s="86"/>
      <c r="N491" s="86"/>
      <c r="O491" s="86"/>
      <c r="P491" s="86"/>
      <c r="Q491" s="86"/>
      <c r="R491" s="435"/>
      <c r="S491" s="52"/>
      <c r="T491" s="52"/>
      <c r="V491" s="52">
        <f t="shared" si="71"/>
        <v>0</v>
      </c>
      <c r="AI491" s="52"/>
    </row>
    <row r="492" spans="1:35" ht="12">
      <c r="A492" s="80">
        <f>+A477+1</f>
        <v>94</v>
      </c>
      <c r="B492" s="83"/>
      <c r="C492" s="83"/>
      <c r="D492" s="80"/>
      <c r="E492" s="85">
        <v>454111</v>
      </c>
      <c r="F492" s="112"/>
      <c r="G492" s="83" t="s">
        <v>743</v>
      </c>
      <c r="H492" s="399">
        <v>1500000</v>
      </c>
      <c r="I492" s="399"/>
      <c r="J492" s="399"/>
      <c r="K492" s="399"/>
      <c r="L492" s="386">
        <f>+H492+I492+J492+K492</f>
        <v>1500000</v>
      </c>
      <c r="M492" s="86">
        <v>0</v>
      </c>
      <c r="N492" s="86"/>
      <c r="O492" s="86"/>
      <c r="P492" s="86"/>
      <c r="Q492" s="86"/>
      <c r="R492" s="435">
        <f>+M492/H492</f>
        <v>0</v>
      </c>
      <c r="S492" s="52"/>
      <c r="T492" s="52"/>
      <c r="V492" s="52">
        <f t="shared" si="71"/>
        <v>1500000</v>
      </c>
      <c r="AI492" s="52"/>
    </row>
    <row r="493" spans="1:35" ht="12">
      <c r="A493" s="83"/>
      <c r="B493" s="83"/>
      <c r="C493" s="83"/>
      <c r="D493" s="80"/>
      <c r="E493" s="85"/>
      <c r="F493" s="112"/>
      <c r="G493" s="3" t="s">
        <v>641</v>
      </c>
      <c r="H493" s="91">
        <f aca="true" t="shared" si="73" ref="H493:Q493">+H492</f>
        <v>1500000</v>
      </c>
      <c r="I493" s="91">
        <f t="shared" si="73"/>
        <v>0</v>
      </c>
      <c r="J493" s="91">
        <f t="shared" si="73"/>
        <v>0</v>
      </c>
      <c r="K493" s="91">
        <f t="shared" si="73"/>
        <v>0</v>
      </c>
      <c r="L493" s="509">
        <f>+H493+I493+J493+K493</f>
        <v>1500000</v>
      </c>
      <c r="M493" s="508">
        <f t="shared" si="73"/>
        <v>0</v>
      </c>
      <c r="N493" s="508"/>
      <c r="O493" s="508">
        <f t="shared" si="73"/>
        <v>0</v>
      </c>
      <c r="P493" s="130">
        <f t="shared" si="73"/>
        <v>0</v>
      </c>
      <c r="Q493" s="130">
        <f t="shared" si="73"/>
        <v>0</v>
      </c>
      <c r="R493" s="435">
        <f>+M493/H493</f>
        <v>0</v>
      </c>
      <c r="S493" s="52"/>
      <c r="T493" s="52"/>
      <c r="V493" s="52">
        <f t="shared" si="71"/>
        <v>1500000</v>
      </c>
      <c r="AB493" s="52"/>
      <c r="AI493" s="52"/>
    </row>
    <row r="494" spans="1:35" ht="12">
      <c r="A494" s="319"/>
      <c r="B494" s="34"/>
      <c r="C494" s="34"/>
      <c r="D494" s="24"/>
      <c r="E494" s="38"/>
      <c r="F494" s="114"/>
      <c r="G494" s="39" t="s">
        <v>744</v>
      </c>
      <c r="H494" s="415"/>
      <c r="I494" s="415"/>
      <c r="J494" s="415"/>
      <c r="K494" s="415"/>
      <c r="L494" s="61"/>
      <c r="M494" s="61"/>
      <c r="N494" s="61"/>
      <c r="O494" s="61"/>
      <c r="P494" s="61"/>
      <c r="Q494" s="61"/>
      <c r="R494" s="438"/>
      <c r="S494" s="52"/>
      <c r="T494" s="52"/>
      <c r="V494" s="52">
        <f t="shared" si="71"/>
        <v>0</v>
      </c>
      <c r="AI494" s="52"/>
    </row>
    <row r="495" spans="1:35" ht="12">
      <c r="A495" s="162"/>
      <c r="B495" s="9"/>
      <c r="C495" s="9"/>
      <c r="D495" s="33"/>
      <c r="E495" s="20"/>
      <c r="F495" s="151" t="s">
        <v>73</v>
      </c>
      <c r="G495" s="20" t="s">
        <v>674</v>
      </c>
      <c r="H495" s="10">
        <f>+H493</f>
        <v>1500000</v>
      </c>
      <c r="I495" s="10"/>
      <c r="J495" s="10"/>
      <c r="K495" s="10"/>
      <c r="L495" s="62"/>
      <c r="M495" s="62">
        <f>+M493</f>
        <v>0</v>
      </c>
      <c r="N495" s="62"/>
      <c r="O495" s="62"/>
      <c r="P495" s="62"/>
      <c r="Q495" s="62"/>
      <c r="R495" s="439"/>
      <c r="S495" s="52"/>
      <c r="T495" s="52"/>
      <c r="V495" s="52">
        <f t="shared" si="71"/>
        <v>1500000</v>
      </c>
      <c r="AC495" s="52"/>
      <c r="AD495" s="52"/>
      <c r="AI495" s="52"/>
    </row>
    <row r="496" spans="1:35" ht="12">
      <c r="A496" s="162"/>
      <c r="B496" s="9"/>
      <c r="C496" s="9"/>
      <c r="D496" s="33"/>
      <c r="E496" s="20"/>
      <c r="F496" s="115"/>
      <c r="G496" s="1" t="s">
        <v>745</v>
      </c>
      <c r="H496" s="10"/>
      <c r="I496" s="10"/>
      <c r="J496" s="10"/>
      <c r="K496" s="10"/>
      <c r="L496" s="62">
        <f>H495+I495+J495</f>
        <v>1500000</v>
      </c>
      <c r="M496" s="62"/>
      <c r="N496" s="62"/>
      <c r="O496" s="62"/>
      <c r="P496" s="62"/>
      <c r="Q496" s="62"/>
      <c r="R496" s="439"/>
      <c r="S496" s="52"/>
      <c r="T496" s="52"/>
      <c r="V496" s="52">
        <f t="shared" si="71"/>
        <v>0</v>
      </c>
      <c r="AI496" s="52"/>
    </row>
    <row r="497" spans="1:35" ht="12">
      <c r="A497" s="162"/>
      <c r="B497" s="9"/>
      <c r="C497" s="9"/>
      <c r="D497" s="33"/>
      <c r="E497" s="20"/>
      <c r="F497" s="115"/>
      <c r="G497" s="1" t="s">
        <v>669</v>
      </c>
      <c r="H497" s="10"/>
      <c r="I497" s="10"/>
      <c r="J497" s="10"/>
      <c r="K497" s="10"/>
      <c r="L497" s="62"/>
      <c r="M497" s="62"/>
      <c r="N497" s="62"/>
      <c r="O497" s="62"/>
      <c r="P497" s="62"/>
      <c r="Q497" s="62"/>
      <c r="R497" s="439"/>
      <c r="S497" s="52"/>
      <c r="T497" s="52"/>
      <c r="V497" s="52">
        <f t="shared" si="71"/>
        <v>0</v>
      </c>
      <c r="AI497" s="52"/>
    </row>
    <row r="498" spans="1:35" ht="12">
      <c r="A498" s="162"/>
      <c r="B498" s="9"/>
      <c r="C498" s="9"/>
      <c r="D498" s="33"/>
      <c r="E498" s="20"/>
      <c r="F498" s="151" t="s">
        <v>73</v>
      </c>
      <c r="G498" s="20" t="s">
        <v>674</v>
      </c>
      <c r="H498" s="10">
        <f>+H495</f>
        <v>1500000</v>
      </c>
      <c r="I498" s="10"/>
      <c r="J498" s="10"/>
      <c r="K498" s="10"/>
      <c r="L498" s="62"/>
      <c r="M498" s="62">
        <f>+M495</f>
        <v>0</v>
      </c>
      <c r="N498" s="62"/>
      <c r="O498" s="62"/>
      <c r="P498" s="62"/>
      <c r="Q498" s="62"/>
      <c r="R498" s="439"/>
      <c r="S498" s="52"/>
      <c r="T498" s="52"/>
      <c r="V498" s="52">
        <f t="shared" si="71"/>
        <v>1500000</v>
      </c>
      <c r="AI498" s="52"/>
    </row>
    <row r="499" spans="1:35" ht="12">
      <c r="A499" s="163"/>
      <c r="B499" s="22"/>
      <c r="C499" s="22"/>
      <c r="D499" s="25"/>
      <c r="E499" s="23"/>
      <c r="F499" s="116"/>
      <c r="G499" s="90" t="s">
        <v>642</v>
      </c>
      <c r="H499" s="407"/>
      <c r="I499" s="407"/>
      <c r="J499" s="407"/>
      <c r="K499" s="407"/>
      <c r="L499" s="53">
        <f>H498+I498+J498</f>
        <v>1500000</v>
      </c>
      <c r="M499" s="53"/>
      <c r="N499" s="53"/>
      <c r="O499" s="53"/>
      <c r="P499" s="53"/>
      <c r="Q499" s="53"/>
      <c r="R499" s="543">
        <f>+M498</f>
        <v>0</v>
      </c>
      <c r="S499" s="52"/>
      <c r="T499" s="52"/>
      <c r="V499" s="52">
        <f t="shared" si="71"/>
        <v>0</v>
      </c>
      <c r="AI499" s="52"/>
    </row>
    <row r="500" spans="1:35" ht="12">
      <c r="A500" s="9"/>
      <c r="B500" s="9"/>
      <c r="C500" s="9"/>
      <c r="D500" s="33"/>
      <c r="E500" s="20"/>
      <c r="F500" s="115"/>
      <c r="G500" s="9"/>
      <c r="H500" s="10"/>
      <c r="I500" s="10"/>
      <c r="J500" s="10"/>
      <c r="K500" s="10"/>
      <c r="L500" s="62"/>
      <c r="M500" s="52"/>
      <c r="N500" s="52"/>
      <c r="O500" s="52"/>
      <c r="P500" s="52"/>
      <c r="Q500" s="52"/>
      <c r="S500" s="52"/>
      <c r="T500" s="52"/>
      <c r="V500" s="52">
        <f t="shared" si="71"/>
        <v>0</v>
      </c>
      <c r="AI500" s="52"/>
    </row>
    <row r="501" spans="1:35" ht="12">
      <c r="A501" s="80"/>
      <c r="B501" s="80"/>
      <c r="C501" s="84" t="s">
        <v>98</v>
      </c>
      <c r="D501" s="89"/>
      <c r="E501" s="81"/>
      <c r="F501" s="153"/>
      <c r="G501" s="82" t="s">
        <v>796</v>
      </c>
      <c r="H501" s="399"/>
      <c r="I501" s="399"/>
      <c r="J501" s="399"/>
      <c r="K501" s="399"/>
      <c r="L501" s="399"/>
      <c r="M501" s="86"/>
      <c r="N501" s="86"/>
      <c r="O501" s="86"/>
      <c r="P501" s="86"/>
      <c r="Q501" s="86"/>
      <c r="R501" s="435"/>
      <c r="S501" s="52"/>
      <c r="T501" s="52"/>
      <c r="V501" s="52">
        <f t="shared" si="71"/>
        <v>0</v>
      </c>
      <c r="AI501" s="52"/>
    </row>
    <row r="502" spans="1:35" ht="12">
      <c r="A502" s="80"/>
      <c r="B502" s="80"/>
      <c r="C502" s="80"/>
      <c r="D502" s="89">
        <v>912</v>
      </c>
      <c r="E502" s="81"/>
      <c r="F502" s="153"/>
      <c r="G502" s="82" t="s">
        <v>595</v>
      </c>
      <c r="H502" s="399"/>
      <c r="I502" s="399"/>
      <c r="J502" s="399"/>
      <c r="K502" s="399"/>
      <c r="L502" s="399"/>
      <c r="M502" s="86"/>
      <c r="N502" s="86"/>
      <c r="O502" s="86"/>
      <c r="P502" s="86"/>
      <c r="Q502" s="86"/>
      <c r="R502" s="435"/>
      <c r="S502" s="52"/>
      <c r="T502" s="52"/>
      <c r="V502" s="52">
        <f t="shared" si="71"/>
        <v>0</v>
      </c>
      <c r="AI502" s="52"/>
    </row>
    <row r="503" spans="1:35" ht="12">
      <c r="A503" s="80">
        <f>+A492+1</f>
        <v>95</v>
      </c>
      <c r="B503" s="80"/>
      <c r="C503" s="80"/>
      <c r="D503" s="80"/>
      <c r="E503" s="85">
        <v>463</v>
      </c>
      <c r="F503" s="112"/>
      <c r="G503" s="83" t="s">
        <v>557</v>
      </c>
      <c r="H503" s="399">
        <f>38254000+S503</f>
        <v>40030840.47</v>
      </c>
      <c r="I503" s="399"/>
      <c r="J503" s="399"/>
      <c r="K503" s="399"/>
      <c r="L503" s="386">
        <f>+H503+I503+J503+K503</f>
        <v>40030840.47</v>
      </c>
      <c r="M503" s="86">
        <v>30154848.87</v>
      </c>
      <c r="N503" s="86"/>
      <c r="O503" s="86"/>
      <c r="P503" s="86"/>
      <c r="Q503" s="86">
        <v>3507991.35</v>
      </c>
      <c r="R503" s="435">
        <f>+M503/H503*100</f>
        <v>75.32904259804066</v>
      </c>
      <c r="S503" s="52">
        <f>479796+50000+68200+168000+49200+84000+89112.47+398532+390000</f>
        <v>1776840.47</v>
      </c>
      <c r="T503" s="52"/>
      <c r="V503" s="52">
        <f t="shared" si="71"/>
        <v>6368000.25</v>
      </c>
      <c r="AI503" s="52"/>
    </row>
    <row r="504" spans="1:35" ht="12">
      <c r="A504" s="12"/>
      <c r="B504" s="12"/>
      <c r="C504" s="12"/>
      <c r="D504" s="12"/>
      <c r="E504" s="3"/>
      <c r="F504" s="103"/>
      <c r="G504" s="3" t="s">
        <v>643</v>
      </c>
      <c r="H504" s="91">
        <f aca="true" t="shared" si="74" ref="H504:Q504">SUM(H503)</f>
        <v>40030840.47</v>
      </c>
      <c r="I504" s="91">
        <f t="shared" si="74"/>
        <v>0</v>
      </c>
      <c r="J504" s="91">
        <f t="shared" si="74"/>
        <v>0</v>
      </c>
      <c r="K504" s="91">
        <f t="shared" si="74"/>
        <v>0</v>
      </c>
      <c r="L504" s="509">
        <f>+H504+I504+J504+K504</f>
        <v>40030840.47</v>
      </c>
      <c r="M504" s="508">
        <f t="shared" si="74"/>
        <v>30154848.87</v>
      </c>
      <c r="N504" s="508"/>
      <c r="O504" s="508">
        <f t="shared" si="74"/>
        <v>0</v>
      </c>
      <c r="P504" s="130">
        <f t="shared" si="74"/>
        <v>0</v>
      </c>
      <c r="Q504" s="130">
        <f t="shared" si="74"/>
        <v>3507991.35</v>
      </c>
      <c r="R504" s="435">
        <f>+M504/H504*100</f>
        <v>75.32904259804066</v>
      </c>
      <c r="S504" s="52"/>
      <c r="T504" s="52"/>
      <c r="V504" s="52">
        <f t="shared" si="71"/>
        <v>6368000.25</v>
      </c>
      <c r="AB504" s="52"/>
      <c r="AI504" s="52"/>
    </row>
    <row r="505" spans="1:35" ht="12">
      <c r="A505" s="148"/>
      <c r="B505" s="13"/>
      <c r="C505" s="13"/>
      <c r="D505" s="13"/>
      <c r="E505" s="15"/>
      <c r="F505" s="105"/>
      <c r="G505" s="39" t="s">
        <v>717</v>
      </c>
      <c r="H505" s="415"/>
      <c r="I505" s="415"/>
      <c r="J505" s="415"/>
      <c r="K505" s="415"/>
      <c r="L505" s="415"/>
      <c r="M505" s="61"/>
      <c r="N505" s="61"/>
      <c r="O505" s="61"/>
      <c r="P505" s="61"/>
      <c r="Q505" s="61"/>
      <c r="R505" s="438"/>
      <c r="S505" s="52"/>
      <c r="T505" s="52"/>
      <c r="V505" s="52">
        <f t="shared" si="71"/>
        <v>0</v>
      </c>
      <c r="AI505" s="52"/>
    </row>
    <row r="506" spans="1:35" ht="12">
      <c r="A506" s="149"/>
      <c r="B506" s="2"/>
      <c r="C506" s="2"/>
      <c r="D506" s="2"/>
      <c r="E506" s="5"/>
      <c r="F506" s="151" t="s">
        <v>73</v>
      </c>
      <c r="G506" s="20" t="s">
        <v>674</v>
      </c>
      <c r="H506" s="10">
        <f>+H503</f>
        <v>40030840.47</v>
      </c>
      <c r="I506" s="10"/>
      <c r="J506" s="10"/>
      <c r="K506" s="10"/>
      <c r="L506" s="71"/>
      <c r="M506" s="62">
        <f>+M503</f>
        <v>30154848.87</v>
      </c>
      <c r="N506" s="62"/>
      <c r="O506" s="62"/>
      <c r="P506" s="62"/>
      <c r="Q506" s="62"/>
      <c r="R506" s="439"/>
      <c r="S506" s="52"/>
      <c r="T506" s="52"/>
      <c r="V506" s="52">
        <f t="shared" si="71"/>
        <v>9875991.599999998</v>
      </c>
      <c r="AC506" s="52"/>
      <c r="AD506" s="52"/>
      <c r="AI506" s="52"/>
    </row>
    <row r="507" spans="1:35" ht="12">
      <c r="A507" s="149"/>
      <c r="B507" s="2"/>
      <c r="C507" s="2"/>
      <c r="D507" s="2"/>
      <c r="E507" s="5"/>
      <c r="F507" s="151"/>
      <c r="G507" s="1" t="s">
        <v>718</v>
      </c>
      <c r="H507" s="10"/>
      <c r="I507" s="10"/>
      <c r="J507" s="10"/>
      <c r="K507" s="10"/>
      <c r="L507" s="62">
        <f>+H506+I506+J506</f>
        <v>40030840.47</v>
      </c>
      <c r="M507" s="62"/>
      <c r="N507" s="62"/>
      <c r="O507" s="62"/>
      <c r="P507" s="62"/>
      <c r="Q507" s="62"/>
      <c r="R507" s="439"/>
      <c r="S507" s="52"/>
      <c r="T507" s="52"/>
      <c r="V507" s="52">
        <f t="shared" si="71"/>
        <v>0</v>
      </c>
      <c r="AI507" s="52"/>
    </row>
    <row r="508" spans="1:35" ht="12">
      <c r="A508" s="149"/>
      <c r="B508" s="2"/>
      <c r="C508" s="2"/>
      <c r="D508" s="2"/>
      <c r="E508" s="5"/>
      <c r="F508" s="151"/>
      <c r="G508" s="1" t="s">
        <v>670</v>
      </c>
      <c r="H508" s="10"/>
      <c r="I508" s="10"/>
      <c r="J508" s="10"/>
      <c r="K508" s="10"/>
      <c r="L508" s="62"/>
      <c r="M508" s="62"/>
      <c r="N508" s="62"/>
      <c r="O508" s="62"/>
      <c r="P508" s="62"/>
      <c r="Q508" s="62"/>
      <c r="R508" s="439"/>
      <c r="S508" s="52"/>
      <c r="T508" s="52"/>
      <c r="V508" s="52">
        <f t="shared" si="71"/>
        <v>0</v>
      </c>
      <c r="AI508" s="52"/>
    </row>
    <row r="509" spans="1:35" ht="12">
      <c r="A509" s="149"/>
      <c r="B509" s="2"/>
      <c r="C509" s="2"/>
      <c r="D509" s="2"/>
      <c r="E509" s="5"/>
      <c r="F509" s="151" t="s">
        <v>73</v>
      </c>
      <c r="G509" s="20" t="s">
        <v>674</v>
      </c>
      <c r="H509" s="10">
        <f>+H506</f>
        <v>40030840.47</v>
      </c>
      <c r="I509" s="10"/>
      <c r="J509" s="10"/>
      <c r="K509" s="10"/>
      <c r="L509" s="71"/>
      <c r="M509" s="62">
        <f>+M506</f>
        <v>30154848.87</v>
      </c>
      <c r="N509" s="62"/>
      <c r="O509" s="62"/>
      <c r="P509" s="62"/>
      <c r="Q509" s="62"/>
      <c r="R509" s="439"/>
      <c r="S509" s="52"/>
      <c r="T509" s="52"/>
      <c r="V509" s="52">
        <f t="shared" si="71"/>
        <v>9875991.599999998</v>
      </c>
      <c r="AI509" s="52"/>
    </row>
    <row r="510" spans="1:35" ht="12">
      <c r="A510" s="150"/>
      <c r="B510" s="40"/>
      <c r="C510" s="40"/>
      <c r="D510" s="40"/>
      <c r="E510" s="19"/>
      <c r="F510" s="123"/>
      <c r="G510" s="90" t="s">
        <v>644</v>
      </c>
      <c r="H510" s="407"/>
      <c r="I510" s="407"/>
      <c r="J510" s="407"/>
      <c r="K510" s="407"/>
      <c r="L510" s="53">
        <f>+H509+I509+J509</f>
        <v>40030840.47</v>
      </c>
      <c r="M510" s="53"/>
      <c r="N510" s="53"/>
      <c r="O510" s="53"/>
      <c r="P510" s="53"/>
      <c r="Q510" s="53"/>
      <c r="R510" s="543">
        <f>+M509</f>
        <v>30154848.87</v>
      </c>
      <c r="S510" s="52"/>
      <c r="T510" s="52"/>
      <c r="V510" s="52">
        <f t="shared" si="71"/>
        <v>0</v>
      </c>
      <c r="AI510" s="52"/>
    </row>
    <row r="511" spans="1:35" ht="12">
      <c r="A511" s="33"/>
      <c r="B511" s="33"/>
      <c r="C511" s="33"/>
      <c r="D511" s="79"/>
      <c r="E511" s="71"/>
      <c r="F511" s="104"/>
      <c r="G511" s="5"/>
      <c r="H511" s="10"/>
      <c r="I511" s="10"/>
      <c r="J511" s="10"/>
      <c r="K511" s="10"/>
      <c r="L511" s="10"/>
      <c r="M511" s="52"/>
      <c r="N511" s="52"/>
      <c r="O511" s="52"/>
      <c r="P511" s="52"/>
      <c r="Q511" s="52"/>
      <c r="S511" s="52"/>
      <c r="T511" s="52"/>
      <c r="V511" s="52">
        <f t="shared" si="71"/>
        <v>0</v>
      </c>
      <c r="AI511" s="52"/>
    </row>
    <row r="512" spans="1:35" ht="12">
      <c r="A512" s="80"/>
      <c r="B512" s="80"/>
      <c r="C512" s="80" t="s">
        <v>103</v>
      </c>
      <c r="D512" s="89"/>
      <c r="E512" s="81"/>
      <c r="F512" s="153"/>
      <c r="G512" s="93" t="s">
        <v>797</v>
      </c>
      <c r="H512" s="422"/>
      <c r="I512" s="422"/>
      <c r="J512" s="422"/>
      <c r="K512" s="422"/>
      <c r="L512" s="422"/>
      <c r="M512" s="86"/>
      <c r="N512" s="86"/>
      <c r="O512" s="86"/>
      <c r="P512" s="86"/>
      <c r="Q512" s="86"/>
      <c r="R512" s="435"/>
      <c r="S512" s="52"/>
      <c r="T512" s="52"/>
      <c r="V512" s="52">
        <f t="shared" si="71"/>
        <v>0</v>
      </c>
      <c r="AI512" s="52"/>
    </row>
    <row r="513" spans="1:35" ht="12">
      <c r="A513" s="80"/>
      <c r="B513" s="80"/>
      <c r="C513" s="80"/>
      <c r="D513" s="89">
        <v>920</v>
      </c>
      <c r="E513" s="82"/>
      <c r="F513" s="153"/>
      <c r="G513" s="82" t="s">
        <v>590</v>
      </c>
      <c r="H513" s="422"/>
      <c r="I513" s="422"/>
      <c r="J513" s="422"/>
      <c r="K513" s="422"/>
      <c r="L513" s="422"/>
      <c r="M513" s="86"/>
      <c r="N513" s="86"/>
      <c r="O513" s="86"/>
      <c r="P513" s="86"/>
      <c r="Q513" s="86"/>
      <c r="R513" s="435"/>
      <c r="S513" s="52"/>
      <c r="T513" s="52"/>
      <c r="V513" s="52">
        <f t="shared" si="71"/>
        <v>0</v>
      </c>
      <c r="AI513" s="52"/>
    </row>
    <row r="514" spans="1:35" ht="12">
      <c r="A514" s="80">
        <f>+A503+1</f>
        <v>96</v>
      </c>
      <c r="B514" s="80"/>
      <c r="C514" s="80"/>
      <c r="D514" s="80"/>
      <c r="E514" s="85">
        <v>463</v>
      </c>
      <c r="F514" s="112"/>
      <c r="G514" s="83" t="s">
        <v>557</v>
      </c>
      <c r="H514" s="399">
        <v>13796000</v>
      </c>
      <c r="I514" s="399"/>
      <c r="J514" s="399"/>
      <c r="K514" s="399"/>
      <c r="L514" s="386">
        <f>+H514+I514+J514+K514</f>
        <v>13796000</v>
      </c>
      <c r="M514" s="86">
        <v>11121350.32</v>
      </c>
      <c r="N514" s="86"/>
      <c r="O514" s="86"/>
      <c r="P514" s="86"/>
      <c r="Q514" s="86">
        <v>911926.85</v>
      </c>
      <c r="R514" s="435">
        <f>+M514/H514*100</f>
        <v>80.61286111916498</v>
      </c>
      <c r="S514" s="52"/>
      <c r="T514" s="52"/>
      <c r="V514" s="52">
        <f t="shared" si="71"/>
        <v>1762722.83</v>
      </c>
      <c r="AI514" s="52"/>
    </row>
    <row r="515" spans="1:35" ht="12">
      <c r="A515" s="12"/>
      <c r="B515" s="12"/>
      <c r="C515" s="12"/>
      <c r="D515" s="12"/>
      <c r="E515" s="3"/>
      <c r="F515" s="103"/>
      <c r="G515" s="3" t="s">
        <v>645</v>
      </c>
      <c r="H515" s="91">
        <f aca="true" t="shared" si="75" ref="H515:Q515">SUM(H514)</f>
        <v>13796000</v>
      </c>
      <c r="I515" s="91">
        <f t="shared" si="75"/>
        <v>0</v>
      </c>
      <c r="J515" s="91">
        <f t="shared" si="75"/>
        <v>0</v>
      </c>
      <c r="K515" s="91">
        <f t="shared" si="75"/>
        <v>0</v>
      </c>
      <c r="L515" s="509">
        <f>+H515+I515+J515+K515</f>
        <v>13796000</v>
      </c>
      <c r="M515" s="508">
        <f t="shared" si="75"/>
        <v>11121350.32</v>
      </c>
      <c r="N515" s="508"/>
      <c r="O515" s="130">
        <f t="shared" si="75"/>
        <v>0</v>
      </c>
      <c r="P515" s="130">
        <f t="shared" si="75"/>
        <v>0</v>
      </c>
      <c r="Q515" s="130">
        <f t="shared" si="75"/>
        <v>911926.85</v>
      </c>
      <c r="R515" s="435">
        <f>+M515/H515*100</f>
        <v>80.61286111916498</v>
      </c>
      <c r="S515" s="52"/>
      <c r="T515" s="52"/>
      <c r="V515" s="52">
        <f t="shared" si="71"/>
        <v>1762722.83</v>
      </c>
      <c r="AB515" s="52"/>
      <c r="AI515" s="52"/>
    </row>
    <row r="516" spans="1:35" ht="12">
      <c r="A516" s="148"/>
      <c r="B516" s="13"/>
      <c r="C516" s="13"/>
      <c r="D516" s="13"/>
      <c r="E516" s="15"/>
      <c r="F516" s="105"/>
      <c r="G516" s="39" t="s">
        <v>719</v>
      </c>
      <c r="H516" s="415"/>
      <c r="I516" s="415"/>
      <c r="J516" s="415"/>
      <c r="K516" s="415"/>
      <c r="L516" s="415"/>
      <c r="M516" s="61"/>
      <c r="N516" s="61"/>
      <c r="O516" s="61"/>
      <c r="P516" s="61"/>
      <c r="Q516" s="61"/>
      <c r="R516" s="438"/>
      <c r="S516" s="52"/>
      <c r="T516" s="52"/>
      <c r="V516" s="52">
        <f t="shared" si="71"/>
        <v>0</v>
      </c>
      <c r="AI516" s="52"/>
    </row>
    <row r="517" spans="1:35" ht="12">
      <c r="A517" s="149"/>
      <c r="B517" s="2"/>
      <c r="C517" s="2"/>
      <c r="D517" s="2"/>
      <c r="E517" s="5"/>
      <c r="F517" s="151" t="s">
        <v>73</v>
      </c>
      <c r="G517" s="20" t="s">
        <v>674</v>
      </c>
      <c r="H517" s="10">
        <f>+H514</f>
        <v>13796000</v>
      </c>
      <c r="I517" s="10"/>
      <c r="J517" s="10"/>
      <c r="K517" s="10"/>
      <c r="L517" s="71"/>
      <c r="M517" s="62">
        <f>+M514</f>
        <v>11121350.32</v>
      </c>
      <c r="N517" s="62"/>
      <c r="O517" s="62"/>
      <c r="P517" s="62"/>
      <c r="Q517" s="62"/>
      <c r="R517" s="439"/>
      <c r="S517" s="52"/>
      <c r="T517" s="52"/>
      <c r="V517" s="52">
        <f t="shared" si="71"/>
        <v>2674649.6799999997</v>
      </c>
      <c r="AC517" s="52"/>
      <c r="AD517" s="52"/>
      <c r="AI517" s="52"/>
    </row>
    <row r="518" spans="1:35" ht="12">
      <c r="A518" s="149"/>
      <c r="B518" s="2"/>
      <c r="C518" s="2"/>
      <c r="D518" s="2"/>
      <c r="E518" s="5"/>
      <c r="F518" s="151"/>
      <c r="G518" s="1" t="s">
        <v>720</v>
      </c>
      <c r="H518" s="10"/>
      <c r="I518" s="10"/>
      <c r="J518" s="10"/>
      <c r="K518" s="10"/>
      <c r="L518" s="62">
        <f>+H517+I517+J517</f>
        <v>13796000</v>
      </c>
      <c r="M518" s="62"/>
      <c r="N518" s="62"/>
      <c r="O518" s="62"/>
      <c r="P518" s="62"/>
      <c r="Q518" s="62"/>
      <c r="R518" s="439"/>
      <c r="S518" s="52"/>
      <c r="T518" s="52"/>
      <c r="V518" s="52">
        <f t="shared" si="71"/>
        <v>0</v>
      </c>
      <c r="AI518" s="52"/>
    </row>
    <row r="519" spans="1:35" ht="12">
      <c r="A519" s="149"/>
      <c r="B519" s="2"/>
      <c r="C519" s="2"/>
      <c r="D519" s="2"/>
      <c r="E519" s="5"/>
      <c r="F519" s="151"/>
      <c r="G519" s="1" t="s">
        <v>671</v>
      </c>
      <c r="H519" s="10"/>
      <c r="I519" s="10"/>
      <c r="J519" s="10"/>
      <c r="K519" s="10"/>
      <c r="L519" s="62"/>
      <c r="M519" s="62"/>
      <c r="N519" s="62"/>
      <c r="O519" s="62"/>
      <c r="P519" s="62"/>
      <c r="Q519" s="62"/>
      <c r="R519" s="439"/>
      <c r="S519" s="52"/>
      <c r="T519" s="52"/>
      <c r="V519" s="52">
        <f t="shared" si="71"/>
        <v>0</v>
      </c>
      <c r="AI519" s="52"/>
    </row>
    <row r="520" spans="1:35" ht="12">
      <c r="A520" s="149"/>
      <c r="B520" s="2"/>
      <c r="C520" s="2"/>
      <c r="D520" s="2"/>
      <c r="E520" s="5"/>
      <c r="F520" s="151" t="s">
        <v>73</v>
      </c>
      <c r="G520" s="20" t="s">
        <v>674</v>
      </c>
      <c r="H520" s="10">
        <f>+H517</f>
        <v>13796000</v>
      </c>
      <c r="I520" s="10"/>
      <c r="J520" s="10"/>
      <c r="K520" s="10"/>
      <c r="L520" s="71"/>
      <c r="M520" s="62">
        <f>+M517</f>
        <v>11121350.32</v>
      </c>
      <c r="N520" s="62"/>
      <c r="O520" s="62"/>
      <c r="P520" s="62"/>
      <c r="Q520" s="62"/>
      <c r="R520" s="439"/>
      <c r="S520" s="52"/>
      <c r="T520" s="52"/>
      <c r="V520" s="52">
        <f t="shared" si="71"/>
        <v>2674649.6799999997</v>
      </c>
      <c r="AI520" s="52"/>
    </row>
    <row r="521" spans="1:35" ht="12">
      <c r="A521" s="150"/>
      <c r="B521" s="40"/>
      <c r="C521" s="40"/>
      <c r="D521" s="40"/>
      <c r="E521" s="19"/>
      <c r="F521" s="123"/>
      <c r="G521" s="90" t="s">
        <v>646</v>
      </c>
      <c r="H521" s="407"/>
      <c r="I521" s="407"/>
      <c r="J521" s="407"/>
      <c r="K521" s="407"/>
      <c r="L521" s="53">
        <f>+H520+I520+J520</f>
        <v>13796000</v>
      </c>
      <c r="M521" s="53"/>
      <c r="N521" s="53"/>
      <c r="O521" s="53"/>
      <c r="P521" s="53"/>
      <c r="Q521" s="53"/>
      <c r="R521" s="543">
        <f>+M520</f>
        <v>11121350.32</v>
      </c>
      <c r="S521" s="52"/>
      <c r="T521" s="52"/>
      <c r="V521" s="52">
        <f t="shared" si="71"/>
        <v>0</v>
      </c>
      <c r="AI521" s="52"/>
    </row>
    <row r="522" spans="1:35" ht="12">
      <c r="A522" s="33"/>
      <c r="B522" s="33"/>
      <c r="C522" s="33"/>
      <c r="D522" s="2"/>
      <c r="E522" s="5"/>
      <c r="F522" s="104"/>
      <c r="G522" s="5"/>
      <c r="H522" s="428"/>
      <c r="I522" s="428"/>
      <c r="J522" s="428"/>
      <c r="K522" s="428"/>
      <c r="L522" s="428"/>
      <c r="M522" s="52"/>
      <c r="N522" s="52"/>
      <c r="O522" s="52"/>
      <c r="P522" s="52"/>
      <c r="Q522" s="52"/>
      <c r="S522" s="52"/>
      <c r="T522" s="52"/>
      <c r="V522" s="52">
        <f t="shared" si="71"/>
        <v>0</v>
      </c>
      <c r="AI522" s="52"/>
    </row>
    <row r="523" spans="1:35" ht="12">
      <c r="A523" s="80"/>
      <c r="B523" s="80"/>
      <c r="C523" s="80" t="s">
        <v>104</v>
      </c>
      <c r="D523" s="88"/>
      <c r="E523" s="82"/>
      <c r="F523" s="153"/>
      <c r="G523" s="82" t="s">
        <v>746</v>
      </c>
      <c r="H523" s="422"/>
      <c r="I523" s="422"/>
      <c r="J523" s="422"/>
      <c r="K523" s="422"/>
      <c r="L523" s="422"/>
      <c r="M523" s="86"/>
      <c r="N523" s="86"/>
      <c r="O523" s="86"/>
      <c r="P523" s="86"/>
      <c r="Q523" s="86"/>
      <c r="R523" s="435"/>
      <c r="S523" s="52"/>
      <c r="T523" s="52"/>
      <c r="V523" s="52">
        <f t="shared" si="71"/>
        <v>0</v>
      </c>
      <c r="AI523" s="52"/>
    </row>
    <row r="524" spans="1:35" ht="12">
      <c r="A524" s="80"/>
      <c r="B524" s="80"/>
      <c r="C524" s="535" t="s">
        <v>329</v>
      </c>
      <c r="D524" s="80"/>
      <c r="E524" s="83"/>
      <c r="F524" s="142"/>
      <c r="G524" s="82" t="s">
        <v>747</v>
      </c>
      <c r="H524" s="399"/>
      <c r="I524" s="399"/>
      <c r="J524" s="399"/>
      <c r="K524" s="399"/>
      <c r="L524" s="86"/>
      <c r="M524" s="86"/>
      <c r="N524" s="86"/>
      <c r="O524" s="86"/>
      <c r="P524" s="86"/>
      <c r="Q524" s="86"/>
      <c r="R524" s="435"/>
      <c r="S524" s="52"/>
      <c r="T524" s="52"/>
      <c r="V524" s="52">
        <f t="shared" si="71"/>
        <v>0</v>
      </c>
      <c r="AI524" s="52"/>
    </row>
    <row r="525" spans="1:35" ht="12">
      <c r="A525" s="80"/>
      <c r="B525" s="80"/>
      <c r="C525" s="80"/>
      <c r="D525" s="155">
        <v>70</v>
      </c>
      <c r="E525" s="83"/>
      <c r="F525" s="142"/>
      <c r="G525" s="82" t="s">
        <v>748</v>
      </c>
      <c r="H525" s="399"/>
      <c r="I525" s="399"/>
      <c r="J525" s="399"/>
      <c r="K525" s="399"/>
      <c r="L525" s="86"/>
      <c r="M525" s="86"/>
      <c r="N525" s="86"/>
      <c r="O525" s="86"/>
      <c r="P525" s="86"/>
      <c r="Q525" s="86"/>
      <c r="R525" s="435"/>
      <c r="S525" s="52"/>
      <c r="T525" s="52"/>
      <c r="V525" s="52">
        <f t="shared" si="71"/>
        <v>0</v>
      </c>
      <c r="AI525" s="52"/>
    </row>
    <row r="526" spans="1:35" ht="12">
      <c r="A526" s="80">
        <f>+A514+1</f>
        <v>97</v>
      </c>
      <c r="B526" s="80"/>
      <c r="C526" s="80"/>
      <c r="D526" s="154"/>
      <c r="E526" s="85">
        <v>463</v>
      </c>
      <c r="F526" s="112"/>
      <c r="G526" s="83" t="s">
        <v>557</v>
      </c>
      <c r="H526" s="399">
        <v>580000</v>
      </c>
      <c r="I526" s="399"/>
      <c r="J526" s="399"/>
      <c r="K526" s="399"/>
      <c r="L526" s="386">
        <f>+H526+I526+J526+K526</f>
        <v>580000</v>
      </c>
      <c r="M526" s="86">
        <v>443806.5</v>
      </c>
      <c r="N526" s="86"/>
      <c r="O526" s="86"/>
      <c r="P526" s="86"/>
      <c r="Q526" s="86">
        <v>50500.3</v>
      </c>
      <c r="R526" s="435">
        <f>+M526/H526*100</f>
        <v>76.51836206896552</v>
      </c>
      <c r="S526" s="52"/>
      <c r="T526" s="52"/>
      <c r="V526" s="52">
        <f t="shared" si="71"/>
        <v>85693.20000000001</v>
      </c>
      <c r="AI526" s="52"/>
    </row>
    <row r="527" spans="1:35" ht="12">
      <c r="A527" s="80">
        <f>A526+1</f>
        <v>98</v>
      </c>
      <c r="B527" s="80"/>
      <c r="C527" s="80"/>
      <c r="D527" s="80"/>
      <c r="E527" s="85">
        <v>472</v>
      </c>
      <c r="F527" s="112"/>
      <c r="G527" s="83" t="s">
        <v>798</v>
      </c>
      <c r="H527" s="399">
        <f>8800000+S527</f>
        <v>8928000</v>
      </c>
      <c r="I527" s="399"/>
      <c r="J527" s="399"/>
      <c r="K527" s="399"/>
      <c r="L527" s="386">
        <f>+H527+I527+J527+K527</f>
        <v>8928000</v>
      </c>
      <c r="M527" s="86">
        <v>6760000</v>
      </c>
      <c r="N527" s="86"/>
      <c r="O527" s="86"/>
      <c r="P527" s="86"/>
      <c r="Q527" s="86"/>
      <c r="R527" s="435">
        <f>+M527/H527*100</f>
        <v>75.7168458781362</v>
      </c>
      <c r="S527" s="52">
        <f>40000+88000</f>
        <v>128000</v>
      </c>
      <c r="T527" s="52"/>
      <c r="V527" s="52">
        <f t="shared" si="71"/>
        <v>2168000</v>
      </c>
      <c r="AI527" s="52"/>
    </row>
    <row r="528" spans="1:35" ht="12">
      <c r="A528" s="80"/>
      <c r="B528" s="80"/>
      <c r="C528" s="80"/>
      <c r="D528" s="80"/>
      <c r="E528" s="85"/>
      <c r="F528" s="112"/>
      <c r="G528" s="83"/>
      <c r="H528" s="399"/>
      <c r="I528" s="399"/>
      <c r="J528" s="399"/>
      <c r="K528" s="399"/>
      <c r="L528" s="399"/>
      <c r="M528" s="86"/>
      <c r="N528" s="86"/>
      <c r="O528" s="86"/>
      <c r="P528" s="86"/>
      <c r="Q528" s="86"/>
      <c r="R528" s="435"/>
      <c r="S528" s="52"/>
      <c r="T528" s="52"/>
      <c r="V528" s="52">
        <f t="shared" si="71"/>
        <v>0</v>
      </c>
      <c r="AI528" s="52"/>
    </row>
    <row r="529" spans="1:35" ht="12">
      <c r="A529" s="80"/>
      <c r="B529" s="80"/>
      <c r="C529" s="80" t="s">
        <v>105</v>
      </c>
      <c r="D529" s="155"/>
      <c r="E529" s="83"/>
      <c r="F529" s="142"/>
      <c r="G529" s="82" t="s">
        <v>799</v>
      </c>
      <c r="H529" s="399"/>
      <c r="I529" s="399"/>
      <c r="J529" s="399"/>
      <c r="K529" s="399"/>
      <c r="L529" s="399"/>
      <c r="M529" s="86"/>
      <c r="N529" s="86"/>
      <c r="O529" s="86"/>
      <c r="P529" s="86"/>
      <c r="Q529" s="86"/>
      <c r="R529" s="435"/>
      <c r="S529" s="52"/>
      <c r="T529" s="52"/>
      <c r="V529" s="52">
        <f t="shared" si="71"/>
        <v>0</v>
      </c>
      <c r="AI529" s="52"/>
    </row>
    <row r="530" spans="1:35" ht="12">
      <c r="A530" s="80"/>
      <c r="B530" s="80"/>
      <c r="C530" s="80"/>
      <c r="D530" s="155">
        <v>90</v>
      </c>
      <c r="E530" s="83"/>
      <c r="F530" s="142"/>
      <c r="G530" s="82" t="s">
        <v>800</v>
      </c>
      <c r="H530" s="399"/>
      <c r="I530" s="399"/>
      <c r="J530" s="399"/>
      <c r="K530" s="399"/>
      <c r="L530" s="399"/>
      <c r="M530" s="86"/>
      <c r="N530" s="86"/>
      <c r="O530" s="86"/>
      <c r="P530" s="86"/>
      <c r="Q530" s="86"/>
      <c r="R530" s="435"/>
      <c r="S530" s="52"/>
      <c r="T530" s="52"/>
      <c r="V530" s="52">
        <f t="shared" si="71"/>
        <v>0</v>
      </c>
      <c r="AI530" s="52"/>
    </row>
    <row r="531" spans="1:35" ht="12">
      <c r="A531" s="80">
        <f>A527+1</f>
        <v>99</v>
      </c>
      <c r="B531" s="80"/>
      <c r="C531" s="80"/>
      <c r="D531" s="80"/>
      <c r="E531" s="85">
        <v>472</v>
      </c>
      <c r="F531" s="112"/>
      <c r="G531" s="83" t="s">
        <v>798</v>
      </c>
      <c r="H531" s="399">
        <v>480000</v>
      </c>
      <c r="I531" s="399"/>
      <c r="J531" s="399"/>
      <c r="K531" s="399"/>
      <c r="L531" s="386">
        <f>+H531+I531+J531+K531</f>
        <v>480000</v>
      </c>
      <c r="M531" s="86">
        <v>290966.98</v>
      </c>
      <c r="N531" s="86"/>
      <c r="O531" s="86"/>
      <c r="P531" s="86"/>
      <c r="Q531" s="86"/>
      <c r="R531" s="435">
        <f>+M531/H531*100</f>
        <v>60.618120833333336</v>
      </c>
      <c r="S531" s="52"/>
      <c r="T531" s="52"/>
      <c r="V531" s="52">
        <f t="shared" si="71"/>
        <v>189033.02000000002</v>
      </c>
      <c r="AI531" s="52"/>
    </row>
    <row r="532" spans="1:35" ht="12">
      <c r="A532" s="80"/>
      <c r="B532" s="80"/>
      <c r="C532" s="80"/>
      <c r="D532" s="80"/>
      <c r="E532" s="85"/>
      <c r="F532" s="112"/>
      <c r="G532" s="83"/>
      <c r="H532" s="399"/>
      <c r="I532" s="399"/>
      <c r="J532" s="399"/>
      <c r="K532" s="399"/>
      <c r="L532" s="399"/>
      <c r="M532" s="86"/>
      <c r="N532" s="86"/>
      <c r="O532" s="86"/>
      <c r="P532" s="86"/>
      <c r="Q532" s="86"/>
      <c r="R532" s="435"/>
      <c r="S532" s="52"/>
      <c r="T532" s="52"/>
      <c r="V532" s="52">
        <f t="shared" si="71"/>
        <v>0</v>
      </c>
      <c r="AI532" s="52"/>
    </row>
    <row r="533" spans="1:35" ht="12">
      <c r="A533" s="80"/>
      <c r="B533" s="80"/>
      <c r="C533" s="80" t="s">
        <v>105</v>
      </c>
      <c r="D533" s="155"/>
      <c r="E533" s="83"/>
      <c r="F533" s="142"/>
      <c r="G533" s="82" t="s">
        <v>801</v>
      </c>
      <c r="H533" s="399"/>
      <c r="I533" s="399"/>
      <c r="J533" s="399"/>
      <c r="K533" s="399"/>
      <c r="L533" s="399"/>
      <c r="M533" s="86"/>
      <c r="N533" s="86"/>
      <c r="O533" s="86"/>
      <c r="P533" s="86"/>
      <c r="Q533" s="86"/>
      <c r="R533" s="435"/>
      <c r="S533" s="52"/>
      <c r="T533" s="52"/>
      <c r="V533" s="52">
        <f t="shared" si="71"/>
        <v>0</v>
      </c>
      <c r="AI533" s="52"/>
    </row>
    <row r="534" spans="1:35" ht="12">
      <c r="A534" s="80"/>
      <c r="B534" s="80"/>
      <c r="C534" s="80"/>
      <c r="D534" s="155">
        <v>90</v>
      </c>
      <c r="E534" s="83"/>
      <c r="F534" s="142"/>
      <c r="G534" s="82" t="s">
        <v>800</v>
      </c>
      <c r="H534" s="399"/>
      <c r="I534" s="399"/>
      <c r="J534" s="399"/>
      <c r="K534" s="399"/>
      <c r="L534" s="399"/>
      <c r="M534" s="86"/>
      <c r="N534" s="86"/>
      <c r="O534" s="86"/>
      <c r="P534" s="86"/>
      <c r="Q534" s="86"/>
      <c r="R534" s="435"/>
      <c r="S534" s="52"/>
      <c r="T534" s="52"/>
      <c r="V534" s="52">
        <f t="shared" si="71"/>
        <v>0</v>
      </c>
      <c r="AI534" s="52"/>
    </row>
    <row r="535" spans="1:35" ht="12">
      <c r="A535" s="80">
        <f>A531+1</f>
        <v>100</v>
      </c>
      <c r="B535" s="80"/>
      <c r="C535" s="80"/>
      <c r="D535" s="80"/>
      <c r="E535" s="85">
        <v>472</v>
      </c>
      <c r="F535" s="112"/>
      <c r="G535" s="83" t="s">
        <v>798</v>
      </c>
      <c r="H535" s="399">
        <v>4983000</v>
      </c>
      <c r="I535" s="399"/>
      <c r="J535" s="399">
        <f>22000000+15865000+375000+375000+17300</f>
        <v>38632300</v>
      </c>
      <c r="K535" s="399"/>
      <c r="L535" s="386">
        <f>+H535+I535+J535+K535</f>
        <v>43615300</v>
      </c>
      <c r="M535" s="86">
        <v>2315705.59</v>
      </c>
      <c r="N535" s="86"/>
      <c r="O535" s="86">
        <f>1391086+4967993.02+17300+375000+375000</f>
        <v>7126379.02</v>
      </c>
      <c r="P535" s="86"/>
      <c r="Q535" s="86"/>
      <c r="R535" s="435">
        <f>+M535/H535*100</f>
        <v>46.47211699779249</v>
      </c>
      <c r="S535" s="52"/>
      <c r="T535" s="52"/>
      <c r="V535" s="52">
        <f t="shared" si="71"/>
        <v>2667294.41</v>
      </c>
      <c r="AI535" s="52"/>
    </row>
    <row r="536" spans="1:35" ht="12">
      <c r="A536" s="80" t="s">
        <v>417</v>
      </c>
      <c r="B536" s="80"/>
      <c r="C536" s="80"/>
      <c r="D536" s="80"/>
      <c r="E536" s="85">
        <v>472</v>
      </c>
      <c r="F536" s="112"/>
      <c r="G536" s="83" t="s">
        <v>802</v>
      </c>
      <c r="H536" s="399">
        <f>250000+595000</f>
        <v>845000</v>
      </c>
      <c r="I536" s="399"/>
      <c r="J536" s="399">
        <v>1191086</v>
      </c>
      <c r="K536" s="399"/>
      <c r="L536" s="386">
        <f>+H536+I536+J536+K536</f>
        <v>2036086</v>
      </c>
      <c r="M536" s="130">
        <v>645000</v>
      </c>
      <c r="N536" s="130"/>
      <c r="O536" s="130">
        <v>0</v>
      </c>
      <c r="P536" s="130"/>
      <c r="Q536" s="130"/>
      <c r="R536" s="435">
        <f>+M536/H536*100</f>
        <v>76.33136094674556</v>
      </c>
      <c r="S536" s="52"/>
      <c r="T536" s="52"/>
      <c r="V536" s="52">
        <f t="shared" si="71"/>
        <v>200000</v>
      </c>
      <c r="AI536" s="52"/>
    </row>
    <row r="537" spans="1:35" ht="12">
      <c r="A537" s="12"/>
      <c r="B537" s="12"/>
      <c r="C537" s="12"/>
      <c r="D537" s="12"/>
      <c r="E537" s="3"/>
      <c r="F537" s="103"/>
      <c r="G537" s="3" t="s">
        <v>647</v>
      </c>
      <c r="H537" s="91">
        <f>SUM(H526:H536)</f>
        <v>15816000</v>
      </c>
      <c r="I537" s="91">
        <f aca="true" t="shared" si="76" ref="I537:Q537">SUM(I526:I535)</f>
        <v>0</v>
      </c>
      <c r="J537" s="91">
        <f>SUM(J526:J536)</f>
        <v>39823386</v>
      </c>
      <c r="K537" s="91">
        <f t="shared" si="76"/>
        <v>0</v>
      </c>
      <c r="L537" s="509">
        <f>+SUM(L526:L536)</f>
        <v>55639386</v>
      </c>
      <c r="M537" s="508">
        <f>SUM(M526:M536)</f>
        <v>10455479.07</v>
      </c>
      <c r="N537" s="508"/>
      <c r="O537" s="508">
        <f>SUM(O526:O536)</f>
        <v>7126379.02</v>
      </c>
      <c r="P537" s="508">
        <f t="shared" si="76"/>
        <v>0</v>
      </c>
      <c r="Q537" s="130">
        <f t="shared" si="76"/>
        <v>50500.3</v>
      </c>
      <c r="R537" s="435">
        <f>+M537/H537*100</f>
        <v>66.10697439301973</v>
      </c>
      <c r="S537" s="52"/>
      <c r="T537" s="52"/>
      <c r="V537" s="52">
        <f aca="true" t="shared" si="77" ref="V537:V600">+H537-(M537+Q537)</f>
        <v>5310020.629999999</v>
      </c>
      <c r="AB537" s="52"/>
      <c r="AI537" s="52"/>
    </row>
    <row r="538" spans="1:35" ht="12">
      <c r="A538" s="148"/>
      <c r="B538" s="13"/>
      <c r="C538" s="13"/>
      <c r="D538" s="13"/>
      <c r="E538" s="15"/>
      <c r="F538" s="105"/>
      <c r="G538" s="39" t="s">
        <v>749</v>
      </c>
      <c r="H538" s="415"/>
      <c r="I538" s="415"/>
      <c r="J538" s="415"/>
      <c r="K538" s="415"/>
      <c r="L538" s="415"/>
      <c r="M538" s="61"/>
      <c r="N538" s="61"/>
      <c r="O538" s="61"/>
      <c r="P538" s="61"/>
      <c r="Q538" s="61"/>
      <c r="R538" s="438"/>
      <c r="S538" s="52"/>
      <c r="T538" s="52"/>
      <c r="V538" s="52">
        <f t="shared" si="77"/>
        <v>0</v>
      </c>
      <c r="AI538" s="52"/>
    </row>
    <row r="539" spans="1:35" ht="12">
      <c r="A539" s="149"/>
      <c r="B539" s="2"/>
      <c r="C539" s="2"/>
      <c r="D539" s="2"/>
      <c r="E539" s="5"/>
      <c r="F539" s="151" t="s">
        <v>73</v>
      </c>
      <c r="G539" s="20" t="s">
        <v>674</v>
      </c>
      <c r="H539" s="10">
        <f>+H526+H527</f>
        <v>9508000</v>
      </c>
      <c r="I539" s="10"/>
      <c r="J539" s="10"/>
      <c r="K539" s="10"/>
      <c r="L539" s="71"/>
      <c r="M539" s="62">
        <f>+M526+M527</f>
        <v>7203806.5</v>
      </c>
      <c r="N539" s="62"/>
      <c r="O539" s="62"/>
      <c r="P539" s="62"/>
      <c r="Q539" s="62"/>
      <c r="R539" s="439"/>
      <c r="S539" s="52"/>
      <c r="T539" s="52"/>
      <c r="V539" s="52">
        <f t="shared" si="77"/>
        <v>2304193.5</v>
      </c>
      <c r="AC539" s="52"/>
      <c r="AD539" s="52"/>
      <c r="AI539" s="52"/>
    </row>
    <row r="540" spans="1:35" ht="12">
      <c r="A540" s="149"/>
      <c r="B540" s="2"/>
      <c r="C540" s="2"/>
      <c r="D540" s="2"/>
      <c r="E540" s="5"/>
      <c r="F540" s="151"/>
      <c r="G540" s="1" t="s">
        <v>750</v>
      </c>
      <c r="H540" s="10"/>
      <c r="I540" s="10"/>
      <c r="J540" s="10"/>
      <c r="K540" s="10"/>
      <c r="L540" s="62">
        <f>+H539+I539+J539</f>
        <v>9508000</v>
      </c>
      <c r="M540" s="62"/>
      <c r="N540" s="62"/>
      <c r="O540" s="62"/>
      <c r="P540" s="62"/>
      <c r="Q540" s="62"/>
      <c r="R540" s="439"/>
      <c r="S540" s="52"/>
      <c r="T540" s="52"/>
      <c r="V540" s="52">
        <f t="shared" si="77"/>
        <v>0</v>
      </c>
      <c r="AI540" s="52"/>
    </row>
    <row r="541" spans="1:35" ht="12">
      <c r="A541" s="149"/>
      <c r="B541" s="2"/>
      <c r="C541" s="2"/>
      <c r="D541" s="2"/>
      <c r="E541" s="5"/>
      <c r="F541" s="104"/>
      <c r="G541" s="1" t="s">
        <v>751</v>
      </c>
      <c r="H541" s="10"/>
      <c r="I541" s="10"/>
      <c r="J541" s="10"/>
      <c r="K541" s="10"/>
      <c r="L541" s="10"/>
      <c r="M541" s="62"/>
      <c r="N541" s="62"/>
      <c r="O541" s="62"/>
      <c r="P541" s="62"/>
      <c r="Q541" s="62"/>
      <c r="R541" s="439"/>
      <c r="S541" s="52"/>
      <c r="T541" s="52"/>
      <c r="V541" s="52">
        <f t="shared" si="77"/>
        <v>0</v>
      </c>
      <c r="AI541" s="52"/>
    </row>
    <row r="542" spans="1:35" ht="12">
      <c r="A542" s="149"/>
      <c r="B542" s="2"/>
      <c r="C542" s="2"/>
      <c r="D542" s="2"/>
      <c r="E542" s="5"/>
      <c r="F542" s="151" t="s">
        <v>73</v>
      </c>
      <c r="G542" s="20" t="s">
        <v>674</v>
      </c>
      <c r="H542" s="10">
        <f>+H531+H535+H536</f>
        <v>6308000</v>
      </c>
      <c r="I542" s="10"/>
      <c r="J542" s="10"/>
      <c r="K542" s="10"/>
      <c r="L542" s="71"/>
      <c r="M542" s="62">
        <f>+M531+M535+M536</f>
        <v>3251672.57</v>
      </c>
      <c r="N542" s="62"/>
      <c r="O542" s="62"/>
      <c r="P542" s="62"/>
      <c r="Q542" s="62"/>
      <c r="R542" s="439"/>
      <c r="S542" s="52"/>
      <c r="T542" s="52"/>
      <c r="V542" s="52">
        <f t="shared" si="77"/>
        <v>3056327.43</v>
      </c>
      <c r="AI542" s="52"/>
    </row>
    <row r="543" spans="1:35" ht="12">
      <c r="A543" s="149"/>
      <c r="B543" s="2"/>
      <c r="C543" s="2"/>
      <c r="D543" s="2"/>
      <c r="E543" s="5"/>
      <c r="F543" s="151" t="s">
        <v>268</v>
      </c>
      <c r="G543" s="20" t="s">
        <v>681</v>
      </c>
      <c r="H543" s="10"/>
      <c r="I543" s="10"/>
      <c r="J543" s="10">
        <f>+J537-17300</f>
        <v>39806086</v>
      </c>
      <c r="K543" s="10"/>
      <c r="L543" s="71"/>
      <c r="M543" s="62"/>
      <c r="N543" s="62"/>
      <c r="O543" s="62">
        <f>+O537-17300</f>
        <v>7109079.02</v>
      </c>
      <c r="P543" s="62"/>
      <c r="Q543" s="62"/>
      <c r="R543" s="439"/>
      <c r="S543" s="52"/>
      <c r="T543" s="52"/>
      <c r="V543" s="52">
        <f t="shared" si="77"/>
        <v>0</v>
      </c>
      <c r="AI543" s="52"/>
    </row>
    <row r="544" spans="1:35" ht="12">
      <c r="A544" s="149"/>
      <c r="B544" s="2"/>
      <c r="C544" s="2"/>
      <c r="D544" s="2"/>
      <c r="E544" s="5"/>
      <c r="F544" s="151" t="s">
        <v>361</v>
      </c>
      <c r="G544" s="20" t="s">
        <v>672</v>
      </c>
      <c r="H544" s="10"/>
      <c r="I544" s="10"/>
      <c r="J544" s="10">
        <v>17300</v>
      </c>
      <c r="K544" s="10"/>
      <c r="L544" s="71"/>
      <c r="M544" s="62"/>
      <c r="N544" s="62"/>
      <c r="O544" s="62">
        <f>+O537-1391086-375000-375000-4967993.02</f>
        <v>17300</v>
      </c>
      <c r="P544" s="62"/>
      <c r="Q544" s="62"/>
      <c r="R544" s="439"/>
      <c r="S544" s="52"/>
      <c r="T544" s="52"/>
      <c r="V544" s="52">
        <f t="shared" si="77"/>
        <v>0</v>
      </c>
      <c r="AI544" s="52"/>
    </row>
    <row r="545" spans="1:35" ht="12">
      <c r="A545" s="149"/>
      <c r="B545" s="2"/>
      <c r="C545" s="2"/>
      <c r="D545" s="2"/>
      <c r="E545" s="5"/>
      <c r="F545" s="151"/>
      <c r="G545" s="1" t="s">
        <v>752</v>
      </c>
      <c r="H545" s="10"/>
      <c r="I545" s="10"/>
      <c r="J545" s="10"/>
      <c r="K545" s="10"/>
      <c r="L545" s="62">
        <f>+H542+I542+J543</f>
        <v>46114086</v>
      </c>
      <c r="M545" s="62"/>
      <c r="N545" s="62"/>
      <c r="O545" s="62"/>
      <c r="P545" s="62"/>
      <c r="Q545" s="62"/>
      <c r="R545" s="439"/>
      <c r="S545" s="52"/>
      <c r="T545" s="52"/>
      <c r="V545" s="52">
        <f t="shared" si="77"/>
        <v>0</v>
      </c>
      <c r="AI545" s="52"/>
    </row>
    <row r="546" spans="1:35" ht="12">
      <c r="A546" s="149"/>
      <c r="B546" s="2"/>
      <c r="C546" s="2"/>
      <c r="D546" s="2"/>
      <c r="E546" s="5"/>
      <c r="F546" s="151"/>
      <c r="G546" s="1" t="s">
        <v>673</v>
      </c>
      <c r="H546" s="10"/>
      <c r="I546" s="10"/>
      <c r="J546" s="10"/>
      <c r="K546" s="10"/>
      <c r="L546" s="10"/>
      <c r="M546" s="62"/>
      <c r="N546" s="62"/>
      <c r="O546" s="62"/>
      <c r="P546" s="62"/>
      <c r="Q546" s="62"/>
      <c r="R546" s="439"/>
      <c r="S546" s="52"/>
      <c r="T546" s="52"/>
      <c r="V546" s="52">
        <f t="shared" si="77"/>
        <v>0</v>
      </c>
      <c r="AI546" s="52"/>
    </row>
    <row r="547" spans="1:35" ht="12">
      <c r="A547" s="149"/>
      <c r="B547" s="2"/>
      <c r="C547" s="2"/>
      <c r="D547" s="2"/>
      <c r="E547" s="5"/>
      <c r="F547" s="151" t="s">
        <v>73</v>
      </c>
      <c r="G547" s="20" t="s">
        <v>674</v>
      </c>
      <c r="H547" s="10">
        <f>+H539+H542</f>
        <v>15816000</v>
      </c>
      <c r="I547" s="10"/>
      <c r="J547" s="10"/>
      <c r="K547" s="10"/>
      <c r="L547" s="71"/>
      <c r="M547" s="62">
        <f>+M539+M542</f>
        <v>10455479.07</v>
      </c>
      <c r="N547" s="62"/>
      <c r="O547" s="62"/>
      <c r="P547" s="62"/>
      <c r="Q547" s="62"/>
      <c r="R547" s="439"/>
      <c r="S547" s="52"/>
      <c r="T547" s="52"/>
      <c r="V547" s="52">
        <f t="shared" si="77"/>
        <v>5360520.93</v>
      </c>
      <c r="AI547" s="52"/>
    </row>
    <row r="548" spans="1:35" ht="12">
      <c r="A548" s="149"/>
      <c r="B548" s="2"/>
      <c r="C548" s="2"/>
      <c r="D548" s="2"/>
      <c r="E548" s="5"/>
      <c r="F548" s="151" t="s">
        <v>268</v>
      </c>
      <c r="G548" s="20" t="s">
        <v>681</v>
      </c>
      <c r="H548" s="10"/>
      <c r="I548" s="10"/>
      <c r="J548" s="10">
        <f>+J537-17300</f>
        <v>39806086</v>
      </c>
      <c r="K548" s="10"/>
      <c r="L548" s="71"/>
      <c r="M548" s="62"/>
      <c r="N548" s="62"/>
      <c r="O548" s="62">
        <f>+O537-17300</f>
        <v>7109079.02</v>
      </c>
      <c r="P548" s="62"/>
      <c r="Q548" s="62"/>
      <c r="R548" s="439"/>
      <c r="S548" s="52"/>
      <c r="T548" s="52"/>
      <c r="V548" s="52">
        <f t="shared" si="77"/>
        <v>0</v>
      </c>
      <c r="AI548" s="52"/>
    </row>
    <row r="549" spans="1:35" ht="12">
      <c r="A549" s="149"/>
      <c r="B549" s="2"/>
      <c r="C549" s="2"/>
      <c r="D549" s="2"/>
      <c r="E549" s="5"/>
      <c r="F549" s="151" t="s">
        <v>361</v>
      </c>
      <c r="G549" s="20" t="s">
        <v>672</v>
      </c>
      <c r="H549" s="10"/>
      <c r="I549" s="10"/>
      <c r="J549" s="10">
        <v>17300</v>
      </c>
      <c r="K549" s="10"/>
      <c r="L549" s="71"/>
      <c r="M549" s="62"/>
      <c r="N549" s="62"/>
      <c r="O549" s="62">
        <f>+O544</f>
        <v>17300</v>
      </c>
      <c r="P549" s="62"/>
      <c r="Q549" s="62"/>
      <c r="R549" s="439"/>
      <c r="S549" s="52"/>
      <c r="T549" s="52"/>
      <c r="V549" s="52">
        <f t="shared" si="77"/>
        <v>0</v>
      </c>
      <c r="AI549" s="52"/>
    </row>
    <row r="550" spans="1:35" ht="12">
      <c r="A550" s="150"/>
      <c r="B550" s="40"/>
      <c r="C550" s="40"/>
      <c r="D550" s="40"/>
      <c r="E550" s="19"/>
      <c r="F550" s="123"/>
      <c r="G550" s="90" t="s">
        <v>648</v>
      </c>
      <c r="H550" s="407"/>
      <c r="I550" s="407"/>
      <c r="J550" s="407"/>
      <c r="K550" s="407"/>
      <c r="L550" s="53">
        <f>+H547+I547+J548</f>
        <v>55622086</v>
      </c>
      <c r="M550" s="53"/>
      <c r="N550" s="53"/>
      <c r="O550" s="53"/>
      <c r="P550" s="53"/>
      <c r="Q550" s="53"/>
      <c r="R550" s="543">
        <f>+O549+O548+M547</f>
        <v>17581858.09</v>
      </c>
      <c r="S550" s="52"/>
      <c r="T550" s="52"/>
      <c r="V550" s="52">
        <f t="shared" si="77"/>
        <v>0</v>
      </c>
      <c r="AI550" s="52"/>
    </row>
    <row r="551" spans="1:35" ht="12">
      <c r="A551" s="2"/>
      <c r="B551" s="2"/>
      <c r="C551" s="2"/>
      <c r="D551" s="2"/>
      <c r="E551" s="5"/>
      <c r="F551" s="104"/>
      <c r="G551" s="5"/>
      <c r="H551" s="10"/>
      <c r="I551" s="10"/>
      <c r="J551" s="10"/>
      <c r="K551" s="10"/>
      <c r="L551" s="10"/>
      <c r="M551" s="52"/>
      <c r="N551" s="52"/>
      <c r="O551" s="52"/>
      <c r="P551" s="52"/>
      <c r="Q551" s="52"/>
      <c r="S551" s="52"/>
      <c r="T551" s="52"/>
      <c r="V551" s="52">
        <f t="shared" si="77"/>
        <v>0</v>
      </c>
      <c r="AI551" s="52"/>
    </row>
    <row r="552" spans="1:35" ht="12">
      <c r="A552" s="80"/>
      <c r="B552" s="80"/>
      <c r="C552" s="80" t="s">
        <v>106</v>
      </c>
      <c r="D552" s="89"/>
      <c r="E552" s="81"/>
      <c r="F552" s="153"/>
      <c r="G552" s="82" t="s">
        <v>682</v>
      </c>
      <c r="H552" s="429"/>
      <c r="I552" s="399"/>
      <c r="J552" s="399"/>
      <c r="K552" s="399"/>
      <c r="L552" s="399"/>
      <c r="M552" s="86"/>
      <c r="N552" s="86"/>
      <c r="O552" s="86"/>
      <c r="P552" s="86"/>
      <c r="Q552" s="86"/>
      <c r="R552" s="435"/>
      <c r="S552" s="52"/>
      <c r="T552" s="52"/>
      <c r="V552" s="52">
        <f t="shared" si="77"/>
        <v>0</v>
      </c>
      <c r="AI552" s="52"/>
    </row>
    <row r="553" spans="1:35" ht="12">
      <c r="A553" s="80"/>
      <c r="B553" s="80"/>
      <c r="C553" s="80" t="s">
        <v>330</v>
      </c>
      <c r="D553" s="80"/>
      <c r="E553" s="83"/>
      <c r="F553" s="142"/>
      <c r="G553" s="82" t="s">
        <v>594</v>
      </c>
      <c r="H553" s="399"/>
      <c r="I553" s="399"/>
      <c r="J553" s="399"/>
      <c r="K553" s="399"/>
      <c r="L553" s="399"/>
      <c r="M553" s="86"/>
      <c r="N553" s="86"/>
      <c r="O553" s="86"/>
      <c r="P553" s="86"/>
      <c r="Q553" s="86"/>
      <c r="R553" s="435"/>
      <c r="S553" s="52"/>
      <c r="T553" s="52"/>
      <c r="V553" s="52">
        <f t="shared" si="77"/>
        <v>0</v>
      </c>
      <c r="AI553" s="52"/>
    </row>
    <row r="554" spans="1:35" ht="12">
      <c r="A554" s="80"/>
      <c r="B554" s="80"/>
      <c r="C554" s="80"/>
      <c r="D554" s="89">
        <v>620</v>
      </c>
      <c r="E554" s="81"/>
      <c r="F554" s="153"/>
      <c r="G554" s="82" t="s">
        <v>697</v>
      </c>
      <c r="H554" s="429"/>
      <c r="I554" s="399"/>
      <c r="J554" s="399"/>
      <c r="K554" s="399"/>
      <c r="L554" s="399"/>
      <c r="M554" s="86"/>
      <c r="N554" s="86"/>
      <c r="O554" s="86"/>
      <c r="P554" s="86"/>
      <c r="Q554" s="86"/>
      <c r="R554" s="435"/>
      <c r="S554" s="52"/>
      <c r="T554" s="52"/>
      <c r="V554" s="52">
        <f t="shared" si="77"/>
        <v>0</v>
      </c>
      <c r="AI554" s="52"/>
    </row>
    <row r="555" spans="1:35" ht="12">
      <c r="A555" s="80">
        <f>+A535+1</f>
        <v>101</v>
      </c>
      <c r="B555" s="80"/>
      <c r="C555" s="80"/>
      <c r="D555" s="80"/>
      <c r="E555" s="85">
        <v>4213</v>
      </c>
      <c r="F555" s="112"/>
      <c r="G555" s="83" t="s">
        <v>649</v>
      </c>
      <c r="H555" s="399">
        <f>22300000+S555</f>
        <v>23100000</v>
      </c>
      <c r="I555" s="399"/>
      <c r="J555" s="399"/>
      <c r="K555" s="399"/>
      <c r="L555" s="386">
        <f>+H555+I555+J555+K555</f>
        <v>23100000</v>
      </c>
      <c r="M555" s="86">
        <v>23095319.58</v>
      </c>
      <c r="N555" s="86"/>
      <c r="O555" s="86"/>
      <c r="P555" s="86"/>
      <c r="Q555" s="86"/>
      <c r="R555" s="435">
        <f>+M555/H555*100</f>
        <v>99.97973844155842</v>
      </c>
      <c r="S555" s="52">
        <v>800000</v>
      </c>
      <c r="T555" s="52"/>
      <c r="V555" s="52">
        <f t="shared" si="77"/>
        <v>4680.420000001788</v>
      </c>
      <c r="AI555" s="52"/>
    </row>
    <row r="556" spans="1:35" ht="12">
      <c r="A556" s="80"/>
      <c r="B556" s="80"/>
      <c r="C556" s="80"/>
      <c r="D556" s="80"/>
      <c r="E556" s="85"/>
      <c r="F556" s="112"/>
      <c r="G556" s="83"/>
      <c r="H556" s="399"/>
      <c r="I556" s="399"/>
      <c r="J556" s="399"/>
      <c r="K556" s="399"/>
      <c r="L556" s="399"/>
      <c r="M556" s="86"/>
      <c r="N556" s="86"/>
      <c r="O556" s="86"/>
      <c r="P556" s="86"/>
      <c r="Q556" s="86"/>
      <c r="R556" s="435"/>
      <c r="S556" s="52"/>
      <c r="T556" s="52"/>
      <c r="V556" s="52">
        <f t="shared" si="77"/>
        <v>0</v>
      </c>
      <c r="AI556" s="52"/>
    </row>
    <row r="557" spans="1:35" ht="12">
      <c r="A557" s="80"/>
      <c r="B557" s="80"/>
      <c r="C557" s="80" t="s">
        <v>331</v>
      </c>
      <c r="D557" s="80"/>
      <c r="E557" s="85"/>
      <c r="F557" s="112"/>
      <c r="G557" s="82" t="s">
        <v>804</v>
      </c>
      <c r="H557" s="399"/>
      <c r="I557" s="420"/>
      <c r="J557" s="420"/>
      <c r="K557" s="420"/>
      <c r="L557" s="420"/>
      <c r="M557" s="86"/>
      <c r="N557" s="86"/>
      <c r="O557" s="86"/>
      <c r="P557" s="86"/>
      <c r="Q557" s="86"/>
      <c r="R557" s="435"/>
      <c r="S557" s="52"/>
      <c r="T557" s="52"/>
      <c r="V557" s="52">
        <f t="shared" si="77"/>
        <v>0</v>
      </c>
      <c r="AI557" s="52"/>
    </row>
    <row r="558" spans="1:35" ht="12">
      <c r="A558" s="80"/>
      <c r="B558" s="80"/>
      <c r="C558" s="80"/>
      <c r="D558" s="89">
        <v>620</v>
      </c>
      <c r="E558" s="81"/>
      <c r="F558" s="153"/>
      <c r="G558" s="82" t="s">
        <v>697</v>
      </c>
      <c r="H558" s="399"/>
      <c r="I558" s="420"/>
      <c r="J558" s="420"/>
      <c r="K558" s="420"/>
      <c r="L558" s="420"/>
      <c r="M558" s="86"/>
      <c r="N558" s="86"/>
      <c r="O558" s="86"/>
      <c r="P558" s="86"/>
      <c r="Q558" s="86"/>
      <c r="R558" s="435"/>
      <c r="S558" s="52"/>
      <c r="T558" s="52"/>
      <c r="V558" s="52">
        <f t="shared" si="77"/>
        <v>0</v>
      </c>
      <c r="AI558" s="52"/>
    </row>
    <row r="559" spans="1:35" ht="12">
      <c r="A559" s="80">
        <f>A555+1</f>
        <v>102</v>
      </c>
      <c r="B559" s="80"/>
      <c r="C559" s="80"/>
      <c r="D559" s="80"/>
      <c r="E559" s="85">
        <v>424</v>
      </c>
      <c r="F559" s="112"/>
      <c r="G559" s="83" t="s">
        <v>554</v>
      </c>
      <c r="H559" s="399">
        <f>27932000+S559</f>
        <v>27952540</v>
      </c>
      <c r="I559" s="399"/>
      <c r="J559" s="399"/>
      <c r="K559" s="399"/>
      <c r="L559" s="386">
        <f>+H559+I559+J559+K559</f>
        <v>27952540</v>
      </c>
      <c r="M559" s="86">
        <v>27499837.03</v>
      </c>
      <c r="N559" s="86"/>
      <c r="O559" s="86"/>
      <c r="P559" s="86"/>
      <c r="Q559" s="86"/>
      <c r="R559" s="435">
        <f>+M559/H559*100</f>
        <v>98.38045855582355</v>
      </c>
      <c r="S559" s="52">
        <v>20540</v>
      </c>
      <c r="T559" s="52"/>
      <c r="V559" s="52">
        <f t="shared" si="77"/>
        <v>452702.9699999988</v>
      </c>
      <c r="AI559" s="52"/>
    </row>
    <row r="560" spans="1:35" ht="12">
      <c r="A560" s="80"/>
      <c r="B560" s="80"/>
      <c r="C560" s="80"/>
      <c r="D560" s="80"/>
      <c r="E560" s="85"/>
      <c r="F560" s="112"/>
      <c r="G560" s="83"/>
      <c r="H560" s="399"/>
      <c r="I560" s="399"/>
      <c r="J560" s="399"/>
      <c r="K560" s="399"/>
      <c r="L560" s="399"/>
      <c r="M560" s="86"/>
      <c r="N560" s="86"/>
      <c r="O560" s="86"/>
      <c r="P560" s="86"/>
      <c r="Q560" s="86"/>
      <c r="R560" s="435"/>
      <c r="S560" s="52"/>
      <c r="T560" s="52"/>
      <c r="V560" s="52">
        <f t="shared" si="77"/>
        <v>0</v>
      </c>
      <c r="AI560" s="52"/>
    </row>
    <row r="561" spans="1:35" ht="12">
      <c r="A561" s="80"/>
      <c r="B561" s="80"/>
      <c r="C561" s="80" t="s">
        <v>332</v>
      </c>
      <c r="D561" s="80"/>
      <c r="E561" s="85"/>
      <c r="F561" s="112"/>
      <c r="G561" s="82" t="s">
        <v>808</v>
      </c>
      <c r="H561" s="399"/>
      <c r="I561" s="420"/>
      <c r="J561" s="420"/>
      <c r="K561" s="420"/>
      <c r="L561" s="420"/>
      <c r="M561" s="86"/>
      <c r="N561" s="86"/>
      <c r="O561" s="86"/>
      <c r="P561" s="86"/>
      <c r="Q561" s="86"/>
      <c r="R561" s="435"/>
      <c r="S561" s="52"/>
      <c r="T561" s="52"/>
      <c r="V561" s="52">
        <f t="shared" si="77"/>
        <v>0</v>
      </c>
      <c r="AI561" s="52"/>
    </row>
    <row r="562" spans="1:35" ht="12">
      <c r="A562" s="80"/>
      <c r="B562" s="80"/>
      <c r="C562" s="80"/>
      <c r="D562" s="89">
        <v>620</v>
      </c>
      <c r="E562" s="81"/>
      <c r="F562" s="153"/>
      <c r="G562" s="82" t="s">
        <v>697</v>
      </c>
      <c r="H562" s="399"/>
      <c r="I562" s="420"/>
      <c r="J562" s="420"/>
      <c r="K562" s="420"/>
      <c r="L562" s="420"/>
      <c r="M562" s="86"/>
      <c r="N562" s="86"/>
      <c r="O562" s="86"/>
      <c r="P562" s="86"/>
      <c r="Q562" s="86"/>
      <c r="R562" s="435"/>
      <c r="S562" s="52"/>
      <c r="T562" s="52"/>
      <c r="V562" s="52">
        <f t="shared" si="77"/>
        <v>0</v>
      </c>
      <c r="AI562" s="52"/>
    </row>
    <row r="563" spans="1:35" ht="12">
      <c r="A563" s="80">
        <f>A559+1</f>
        <v>103</v>
      </c>
      <c r="B563" s="80"/>
      <c r="C563" s="80"/>
      <c r="D563" s="80"/>
      <c r="E563" s="85">
        <v>425</v>
      </c>
      <c r="F563" s="112"/>
      <c r="G563" s="83" t="s">
        <v>540</v>
      </c>
      <c r="H563" s="399">
        <v>850000</v>
      </c>
      <c r="I563" s="420"/>
      <c r="J563" s="420">
        <v>1000000</v>
      </c>
      <c r="K563" s="420"/>
      <c r="L563" s="386">
        <f>+H563+I563+J563+K563</f>
        <v>1850000</v>
      </c>
      <c r="M563" s="86">
        <v>494712.64</v>
      </c>
      <c r="N563" s="86"/>
      <c r="O563" s="86">
        <v>1000000</v>
      </c>
      <c r="P563" s="86"/>
      <c r="Q563" s="86"/>
      <c r="R563" s="435">
        <f>+M563/H563*100</f>
        <v>58.20148705882353</v>
      </c>
      <c r="S563" s="52"/>
      <c r="T563" s="52"/>
      <c r="V563" s="52">
        <f t="shared" si="77"/>
        <v>355287.36</v>
      </c>
      <c r="AI563" s="52"/>
    </row>
    <row r="564" spans="1:35" ht="12">
      <c r="A564" s="80"/>
      <c r="B564" s="80"/>
      <c r="C564" s="80"/>
      <c r="D564" s="80"/>
      <c r="E564" s="85"/>
      <c r="F564" s="112"/>
      <c r="G564" s="83"/>
      <c r="H564" s="399"/>
      <c r="I564" s="420"/>
      <c r="J564" s="420"/>
      <c r="K564" s="420"/>
      <c r="L564" s="420"/>
      <c r="M564" s="86"/>
      <c r="N564" s="86"/>
      <c r="O564" s="86"/>
      <c r="P564" s="86"/>
      <c r="Q564" s="86"/>
      <c r="R564" s="435"/>
      <c r="S564" s="52"/>
      <c r="T564" s="52"/>
      <c r="V564" s="52">
        <f t="shared" si="77"/>
        <v>0</v>
      </c>
      <c r="AI564" s="52"/>
    </row>
    <row r="565" spans="1:35" ht="12">
      <c r="A565" s="80"/>
      <c r="B565" s="80"/>
      <c r="C565" s="80" t="s">
        <v>333</v>
      </c>
      <c r="D565" s="80"/>
      <c r="E565" s="85"/>
      <c r="F565" s="112"/>
      <c r="G565" s="82" t="s">
        <v>883</v>
      </c>
      <c r="H565" s="399"/>
      <c r="I565" s="420"/>
      <c r="J565" s="420"/>
      <c r="K565" s="420"/>
      <c r="L565" s="420"/>
      <c r="M565" s="86"/>
      <c r="N565" s="86"/>
      <c r="O565" s="86"/>
      <c r="P565" s="86"/>
      <c r="Q565" s="86"/>
      <c r="R565" s="435"/>
      <c r="S565" s="52"/>
      <c r="T565" s="52"/>
      <c r="V565" s="52">
        <f t="shared" si="77"/>
        <v>0</v>
      </c>
      <c r="AI565" s="52"/>
    </row>
    <row r="566" spans="1:35" ht="12">
      <c r="A566" s="80"/>
      <c r="B566" s="80"/>
      <c r="C566" s="80"/>
      <c r="D566" s="89">
        <v>620</v>
      </c>
      <c r="E566" s="81"/>
      <c r="F566" s="153"/>
      <c r="G566" s="82" t="s">
        <v>697</v>
      </c>
      <c r="H566" s="399"/>
      <c r="I566" s="420"/>
      <c r="J566" s="420"/>
      <c r="K566" s="420"/>
      <c r="L566" s="420"/>
      <c r="M566" s="86"/>
      <c r="N566" s="86"/>
      <c r="O566" s="86"/>
      <c r="P566" s="86"/>
      <c r="Q566" s="86"/>
      <c r="R566" s="435"/>
      <c r="S566" s="52"/>
      <c r="T566" s="52"/>
      <c r="V566" s="52">
        <f t="shared" si="77"/>
        <v>0</v>
      </c>
      <c r="AI566" s="52"/>
    </row>
    <row r="567" spans="1:35" ht="12">
      <c r="A567" s="80">
        <f>A563+1</f>
        <v>104</v>
      </c>
      <c r="B567" s="80"/>
      <c r="C567" s="80"/>
      <c r="D567" s="80"/>
      <c r="E567" s="85">
        <v>425</v>
      </c>
      <c r="F567" s="112"/>
      <c r="G567" s="83" t="s">
        <v>540</v>
      </c>
      <c r="H567" s="399">
        <v>2000000</v>
      </c>
      <c r="I567" s="420"/>
      <c r="J567" s="420"/>
      <c r="K567" s="420"/>
      <c r="L567" s="386">
        <f>+H567+I567+J567+K567</f>
        <v>2000000</v>
      </c>
      <c r="M567" s="86">
        <v>2000000</v>
      </c>
      <c r="N567" s="86"/>
      <c r="O567" s="86"/>
      <c r="P567" s="86"/>
      <c r="Q567" s="86"/>
      <c r="R567" s="435">
        <f>+M567/H567*100</f>
        <v>100</v>
      </c>
      <c r="S567" s="52"/>
      <c r="T567" s="52"/>
      <c r="V567" s="52">
        <f t="shared" si="77"/>
        <v>0</v>
      </c>
      <c r="AI567" s="52"/>
    </row>
    <row r="568" spans="1:35" ht="12">
      <c r="A568" s="80"/>
      <c r="B568" s="80"/>
      <c r="C568" s="80"/>
      <c r="D568" s="80"/>
      <c r="E568" s="85"/>
      <c r="F568" s="112"/>
      <c r="G568" s="83"/>
      <c r="H568" s="399"/>
      <c r="I568" s="420"/>
      <c r="J568" s="420"/>
      <c r="K568" s="420"/>
      <c r="L568" s="420"/>
      <c r="M568" s="86"/>
      <c r="N568" s="86"/>
      <c r="O568" s="86"/>
      <c r="P568" s="86"/>
      <c r="Q568" s="86"/>
      <c r="R568" s="435"/>
      <c r="S568" s="52"/>
      <c r="T568" s="52"/>
      <c r="V568" s="52">
        <f t="shared" si="77"/>
        <v>0</v>
      </c>
      <c r="AI568" s="52"/>
    </row>
    <row r="569" spans="1:35" ht="12.75" customHeight="1">
      <c r="A569" s="80"/>
      <c r="B569" s="80"/>
      <c r="C569" s="80" t="s">
        <v>334</v>
      </c>
      <c r="D569" s="80"/>
      <c r="E569" s="85"/>
      <c r="F569" s="112"/>
      <c r="G569" s="94" t="s">
        <v>884</v>
      </c>
      <c r="H569" s="399"/>
      <c r="I569" s="420"/>
      <c r="J569" s="420"/>
      <c r="K569" s="420"/>
      <c r="L569" s="420"/>
      <c r="M569" s="86"/>
      <c r="N569" s="86"/>
      <c r="O569" s="86"/>
      <c r="P569" s="86"/>
      <c r="Q569" s="86"/>
      <c r="R569" s="435"/>
      <c r="S569" s="52"/>
      <c r="T569" s="52"/>
      <c r="V569" s="52">
        <f t="shared" si="77"/>
        <v>0</v>
      </c>
      <c r="AI569" s="52"/>
    </row>
    <row r="570" spans="1:35" ht="12.75" customHeight="1">
      <c r="A570" s="80"/>
      <c r="B570" s="80"/>
      <c r="C570" s="80"/>
      <c r="D570" s="80">
        <v>620</v>
      </c>
      <c r="E570" s="85"/>
      <c r="F570" s="112"/>
      <c r="G570" s="82" t="s">
        <v>697</v>
      </c>
      <c r="H570" s="399"/>
      <c r="I570" s="420"/>
      <c r="J570" s="420"/>
      <c r="K570" s="420"/>
      <c r="L570" s="420"/>
      <c r="M570" s="86"/>
      <c r="N570" s="86"/>
      <c r="O570" s="86"/>
      <c r="P570" s="86"/>
      <c r="Q570" s="86"/>
      <c r="R570" s="435"/>
      <c r="S570" s="52"/>
      <c r="T570" s="52"/>
      <c r="V570" s="52">
        <f t="shared" si="77"/>
        <v>0</v>
      </c>
      <c r="AI570" s="52"/>
    </row>
    <row r="571" spans="1:35" ht="12">
      <c r="A571" s="80">
        <f>+A567+1</f>
        <v>105</v>
      </c>
      <c r="B571" s="80"/>
      <c r="C571" s="80"/>
      <c r="D571" s="80"/>
      <c r="E571" s="85">
        <v>472</v>
      </c>
      <c r="F571" s="112"/>
      <c r="G571" s="83" t="s">
        <v>798</v>
      </c>
      <c r="H571" s="399">
        <f>15000000-1000000-8000000+200000</f>
        <v>6200000</v>
      </c>
      <c r="I571" s="420"/>
      <c r="J571" s="420"/>
      <c r="K571" s="420"/>
      <c r="L571" s="386">
        <f>+H571+I571+J571+K571</f>
        <v>6200000</v>
      </c>
      <c r="M571" s="86">
        <v>3638154.31</v>
      </c>
      <c r="N571" s="86"/>
      <c r="O571" s="86"/>
      <c r="P571" s="86"/>
      <c r="Q571" s="86">
        <v>921633.26</v>
      </c>
      <c r="R571" s="435">
        <f>+M571/H571*100</f>
        <v>58.67990822580646</v>
      </c>
      <c r="S571" s="52"/>
      <c r="T571" s="52"/>
      <c r="V571" s="52">
        <f t="shared" si="77"/>
        <v>1640212.4299999997</v>
      </c>
      <c r="AI571" s="52"/>
    </row>
    <row r="572" spans="1:35" ht="12">
      <c r="A572" s="80"/>
      <c r="B572" s="80"/>
      <c r="C572" s="80"/>
      <c r="D572" s="80"/>
      <c r="E572" s="85"/>
      <c r="F572" s="112"/>
      <c r="G572" s="83"/>
      <c r="H572" s="399"/>
      <c r="I572" s="399"/>
      <c r="J572" s="399"/>
      <c r="K572" s="399"/>
      <c r="L572" s="399"/>
      <c r="M572" s="86"/>
      <c r="N572" s="86"/>
      <c r="O572" s="86"/>
      <c r="P572" s="86"/>
      <c r="Q572" s="86"/>
      <c r="R572" s="435"/>
      <c r="S572" s="52"/>
      <c r="T572" s="52"/>
      <c r="V572" s="52">
        <f t="shared" si="77"/>
        <v>0</v>
      </c>
      <c r="AI572" s="52"/>
    </row>
    <row r="573" spans="1:35" ht="12">
      <c r="A573" s="80"/>
      <c r="B573" s="80"/>
      <c r="C573" s="80" t="s">
        <v>335</v>
      </c>
      <c r="D573" s="80"/>
      <c r="E573" s="85"/>
      <c r="F573" s="112"/>
      <c r="G573" s="94" t="s">
        <v>809</v>
      </c>
      <c r="H573" s="399"/>
      <c r="I573" s="399"/>
      <c r="J573" s="399"/>
      <c r="K573" s="399"/>
      <c r="L573" s="399"/>
      <c r="M573" s="86"/>
      <c r="N573" s="86"/>
      <c r="O573" s="86"/>
      <c r="P573" s="86"/>
      <c r="Q573" s="86"/>
      <c r="R573" s="435"/>
      <c r="S573" s="52"/>
      <c r="T573" s="52"/>
      <c r="V573" s="52">
        <f t="shared" si="77"/>
        <v>0</v>
      </c>
      <c r="AI573" s="52"/>
    </row>
    <row r="574" spans="1:35" ht="12">
      <c r="A574" s="80"/>
      <c r="B574" s="80"/>
      <c r="C574" s="80"/>
      <c r="D574" s="89">
        <v>620</v>
      </c>
      <c r="E574" s="81"/>
      <c r="F574" s="153"/>
      <c r="G574" s="82" t="s">
        <v>697</v>
      </c>
      <c r="H574" s="399"/>
      <c r="I574" s="399"/>
      <c r="J574" s="399"/>
      <c r="K574" s="399"/>
      <c r="L574" s="399"/>
      <c r="M574" s="86"/>
      <c r="N574" s="86"/>
      <c r="O574" s="86"/>
      <c r="P574" s="86"/>
      <c r="Q574" s="86"/>
      <c r="R574" s="435"/>
      <c r="S574" s="52"/>
      <c r="T574" s="52"/>
      <c r="V574" s="52">
        <f t="shared" si="77"/>
        <v>0</v>
      </c>
      <c r="AI574" s="52"/>
    </row>
    <row r="575" spans="1:35" ht="12">
      <c r="A575" s="80">
        <f>+A571+1</f>
        <v>106</v>
      </c>
      <c r="B575" s="80"/>
      <c r="C575" s="80"/>
      <c r="D575" s="80"/>
      <c r="E575" s="85">
        <v>621</v>
      </c>
      <c r="F575" s="112"/>
      <c r="G575" s="83" t="s">
        <v>859</v>
      </c>
      <c r="H575" s="399">
        <v>3000000</v>
      </c>
      <c r="I575" s="399"/>
      <c r="J575" s="399"/>
      <c r="K575" s="399"/>
      <c r="L575" s="386">
        <f>+H575+I575+J575+K575</f>
        <v>3000000</v>
      </c>
      <c r="M575" s="86">
        <v>1900000</v>
      </c>
      <c r="N575" s="86"/>
      <c r="O575" s="86"/>
      <c r="P575" s="86"/>
      <c r="Q575" s="86"/>
      <c r="R575" s="435">
        <f>+M575/H575*100</f>
        <v>63.33333333333333</v>
      </c>
      <c r="S575" s="52"/>
      <c r="T575" s="52"/>
      <c r="V575" s="52">
        <f t="shared" si="77"/>
        <v>1100000</v>
      </c>
      <c r="AI575" s="52"/>
    </row>
    <row r="576" spans="1:35" ht="12">
      <c r="A576" s="80" t="s">
        <v>382</v>
      </c>
      <c r="B576" s="80"/>
      <c r="C576" s="80"/>
      <c r="D576" s="80"/>
      <c r="E576" s="85">
        <v>400</v>
      </c>
      <c r="F576" s="112"/>
      <c r="G576" s="83" t="s">
        <v>545</v>
      </c>
      <c r="H576" s="399">
        <f>+S576</f>
        <v>300000</v>
      </c>
      <c r="I576" s="399"/>
      <c r="J576" s="399"/>
      <c r="K576" s="399"/>
      <c r="L576" s="386">
        <f>+H576+I576+J576+K576</f>
        <v>300000</v>
      </c>
      <c r="M576" s="86">
        <v>300000</v>
      </c>
      <c r="N576" s="86"/>
      <c r="O576" s="86"/>
      <c r="P576" s="86"/>
      <c r="Q576" s="86"/>
      <c r="R576" s="435">
        <f>+M576/H576*100</f>
        <v>100</v>
      </c>
      <c r="S576" s="52">
        <v>300000</v>
      </c>
      <c r="T576" s="52"/>
      <c r="V576" s="52">
        <f t="shared" si="77"/>
        <v>0</v>
      </c>
      <c r="AI576" s="52"/>
    </row>
    <row r="577" spans="1:35" ht="12">
      <c r="A577" s="80" t="s">
        <v>383</v>
      </c>
      <c r="B577" s="80"/>
      <c r="C577" s="80"/>
      <c r="D577" s="80"/>
      <c r="E577" s="85">
        <v>451</v>
      </c>
      <c r="F577" s="112"/>
      <c r="G577" s="83" t="s">
        <v>885</v>
      </c>
      <c r="H577" s="399">
        <f>+S577</f>
        <v>300000</v>
      </c>
      <c r="I577" s="399"/>
      <c r="J577" s="399"/>
      <c r="K577" s="399"/>
      <c r="L577" s="386">
        <f>+H577+I577+J577+K577</f>
        <v>300000</v>
      </c>
      <c r="M577" s="86">
        <v>300000</v>
      </c>
      <c r="N577" s="86"/>
      <c r="O577" s="86"/>
      <c r="P577" s="86"/>
      <c r="Q577" s="86"/>
      <c r="R577" s="435">
        <f>+M577/H577*100</f>
        <v>100</v>
      </c>
      <c r="S577" s="52">
        <v>300000</v>
      </c>
      <c r="T577" s="52"/>
      <c r="V577" s="52">
        <f t="shared" si="77"/>
        <v>0</v>
      </c>
      <c r="AI577" s="52"/>
    </row>
    <row r="578" spans="1:35" ht="12">
      <c r="A578" s="125" t="s">
        <v>429</v>
      </c>
      <c r="B578" s="80"/>
      <c r="C578" s="80"/>
      <c r="D578" s="80"/>
      <c r="E578" s="85">
        <v>424</v>
      </c>
      <c r="F578" s="112"/>
      <c r="G578" s="83" t="s">
        <v>554</v>
      </c>
      <c r="H578" s="399">
        <v>2500000</v>
      </c>
      <c r="I578" s="399"/>
      <c r="J578" s="399"/>
      <c r="K578" s="399"/>
      <c r="L578" s="386">
        <f>+H578+I578+J578+K578</f>
        <v>2500000</v>
      </c>
      <c r="M578" s="86">
        <v>2500000</v>
      </c>
      <c r="N578" s="86"/>
      <c r="O578" s="86"/>
      <c r="P578" s="86"/>
      <c r="Q578" s="86"/>
      <c r="R578" s="435">
        <f>+M578/H578*100</f>
        <v>100</v>
      </c>
      <c r="S578" s="52"/>
      <c r="T578" s="52"/>
      <c r="V578" s="52">
        <f t="shared" si="77"/>
        <v>0</v>
      </c>
      <c r="AI578" s="52"/>
    </row>
    <row r="579" spans="1:35" ht="12">
      <c r="A579" s="80"/>
      <c r="B579" s="80"/>
      <c r="C579" s="80"/>
      <c r="D579" s="80"/>
      <c r="E579" s="85"/>
      <c r="F579" s="112"/>
      <c r="G579" s="83"/>
      <c r="H579" s="399"/>
      <c r="I579" s="399"/>
      <c r="J579" s="399"/>
      <c r="K579" s="399"/>
      <c r="L579" s="420"/>
      <c r="M579" s="86"/>
      <c r="N579" s="86"/>
      <c r="O579" s="86"/>
      <c r="P579" s="86"/>
      <c r="Q579" s="86"/>
      <c r="R579" s="435"/>
      <c r="S579" s="52"/>
      <c r="T579" s="52"/>
      <c r="V579" s="52">
        <f t="shared" si="77"/>
        <v>0</v>
      </c>
      <c r="AI579" s="52"/>
    </row>
    <row r="580" spans="1:35" ht="12">
      <c r="A580" s="80"/>
      <c r="B580" s="80"/>
      <c r="C580" s="80" t="s">
        <v>336</v>
      </c>
      <c r="D580" s="80"/>
      <c r="E580" s="85"/>
      <c r="F580" s="112"/>
      <c r="G580" s="94" t="s">
        <v>886</v>
      </c>
      <c r="H580" s="399"/>
      <c r="I580" s="399"/>
      <c r="J580" s="399"/>
      <c r="K580" s="399"/>
      <c r="L580" s="420"/>
      <c r="M580" s="86"/>
      <c r="N580" s="86"/>
      <c r="O580" s="86"/>
      <c r="P580" s="86"/>
      <c r="Q580" s="86"/>
      <c r="R580" s="435"/>
      <c r="S580" s="52"/>
      <c r="T580" s="52"/>
      <c r="V580" s="52">
        <f t="shared" si="77"/>
        <v>0</v>
      </c>
      <c r="AI580" s="52"/>
    </row>
    <row r="581" spans="1:35" ht="12">
      <c r="A581" s="80"/>
      <c r="B581" s="80"/>
      <c r="C581" s="80"/>
      <c r="D581" s="89">
        <v>620</v>
      </c>
      <c r="E581" s="81"/>
      <c r="F581" s="153"/>
      <c r="G581" s="82" t="s">
        <v>697</v>
      </c>
      <c r="H581" s="399"/>
      <c r="I581" s="399"/>
      <c r="J581" s="399"/>
      <c r="K581" s="399"/>
      <c r="L581" s="420"/>
      <c r="M581" s="86"/>
      <c r="N581" s="86"/>
      <c r="O581" s="86"/>
      <c r="P581" s="86"/>
      <c r="Q581" s="86"/>
      <c r="R581" s="435"/>
      <c r="S581" s="52"/>
      <c r="T581" s="52"/>
      <c r="V581" s="52">
        <f t="shared" si="77"/>
        <v>0</v>
      </c>
      <c r="AI581" s="52"/>
    </row>
    <row r="582" spans="1:35" ht="12">
      <c r="A582" s="80">
        <f>+A575+1</f>
        <v>107</v>
      </c>
      <c r="B582" s="80"/>
      <c r="C582" s="80"/>
      <c r="D582" s="80"/>
      <c r="E582" s="85">
        <v>4512</v>
      </c>
      <c r="F582" s="112"/>
      <c r="G582" s="83" t="s">
        <v>887</v>
      </c>
      <c r="H582" s="399">
        <f>1500000-1150000-350000</f>
        <v>0</v>
      </c>
      <c r="I582" s="399"/>
      <c r="J582" s="399"/>
      <c r="K582" s="399"/>
      <c r="L582" s="386">
        <f>+H582+I582+J582+K582</f>
        <v>0</v>
      </c>
      <c r="M582" s="86"/>
      <c r="N582" s="86"/>
      <c r="O582" s="86"/>
      <c r="P582" s="86"/>
      <c r="Q582" s="86"/>
      <c r="R582" s="435">
        <v>0</v>
      </c>
      <c r="S582" s="52"/>
      <c r="T582" s="52"/>
      <c r="V582" s="52">
        <f t="shared" si="77"/>
        <v>0</v>
      </c>
      <c r="AI582" s="52"/>
    </row>
    <row r="583" spans="1:35" ht="12">
      <c r="A583" s="12"/>
      <c r="B583" s="12"/>
      <c r="C583" s="12"/>
      <c r="D583" s="12"/>
      <c r="E583" s="3"/>
      <c r="F583" s="103"/>
      <c r="G583" s="3" t="s">
        <v>810</v>
      </c>
      <c r="H583" s="91">
        <f>SUM(H555:H582)</f>
        <v>66202540</v>
      </c>
      <c r="I583" s="91">
        <f aca="true" t="shared" si="78" ref="I583:Q583">SUM(I555:I582)</f>
        <v>0</v>
      </c>
      <c r="J583" s="91">
        <f t="shared" si="78"/>
        <v>1000000</v>
      </c>
      <c r="K583" s="91">
        <f t="shared" si="78"/>
        <v>0</v>
      </c>
      <c r="L583" s="91">
        <f t="shared" si="78"/>
        <v>67202540</v>
      </c>
      <c r="M583" s="508">
        <f t="shared" si="78"/>
        <v>61728023.56</v>
      </c>
      <c r="N583" s="508"/>
      <c r="O583" s="130">
        <f t="shared" si="78"/>
        <v>1000000</v>
      </c>
      <c r="P583" s="130">
        <f t="shared" si="78"/>
        <v>0</v>
      </c>
      <c r="Q583" s="130">
        <f t="shared" si="78"/>
        <v>921633.26</v>
      </c>
      <c r="R583" s="435">
        <f>+M583/H583*100</f>
        <v>93.24117104872411</v>
      </c>
      <c r="S583" s="52"/>
      <c r="T583" s="52"/>
      <c r="V583" s="52">
        <f t="shared" si="77"/>
        <v>3552883.1799999997</v>
      </c>
      <c r="AB583" s="52"/>
      <c r="AI583" s="52"/>
    </row>
    <row r="584" spans="1:35" ht="12">
      <c r="A584" s="148"/>
      <c r="B584" s="13"/>
      <c r="C584" s="13"/>
      <c r="D584" s="13"/>
      <c r="E584" s="15"/>
      <c r="F584" s="105"/>
      <c r="G584" s="39" t="s">
        <v>707</v>
      </c>
      <c r="H584" s="415"/>
      <c r="I584" s="415"/>
      <c r="J584" s="415"/>
      <c r="K584" s="415"/>
      <c r="L584" s="415"/>
      <c r="M584" s="61"/>
      <c r="N584" s="61"/>
      <c r="O584" s="61"/>
      <c r="P584" s="61"/>
      <c r="Q584" s="61"/>
      <c r="R584" s="438"/>
      <c r="S584" s="52"/>
      <c r="T584" s="52"/>
      <c r="V584" s="52">
        <f t="shared" si="77"/>
        <v>0</v>
      </c>
      <c r="AI584" s="52"/>
    </row>
    <row r="585" spans="1:35" ht="12">
      <c r="A585" s="149"/>
      <c r="B585" s="2"/>
      <c r="C585" s="2"/>
      <c r="D585" s="2"/>
      <c r="E585" s="5"/>
      <c r="F585" s="151" t="s">
        <v>73</v>
      </c>
      <c r="G585" s="20" t="s">
        <v>674</v>
      </c>
      <c r="H585" s="10">
        <f>+H555+H559+H563+H575+H567+H582+H571+H576+H577+H578</f>
        <v>66202540</v>
      </c>
      <c r="I585" s="10"/>
      <c r="J585" s="10"/>
      <c r="K585" s="10"/>
      <c r="L585" s="71"/>
      <c r="M585" s="62">
        <f>+M555+M559+M563+M575+M567+M582+M571+M576+M577+M578</f>
        <v>61728023.56</v>
      </c>
      <c r="N585" s="62"/>
      <c r="O585" s="62"/>
      <c r="P585" s="62"/>
      <c r="Q585" s="62"/>
      <c r="R585" s="439"/>
      <c r="S585" s="52"/>
      <c r="T585" s="52"/>
      <c r="V585" s="52">
        <f t="shared" si="77"/>
        <v>4474516.439999998</v>
      </c>
      <c r="AC585" s="52"/>
      <c r="AD585" s="52"/>
      <c r="AI585" s="52"/>
    </row>
    <row r="586" spans="1:35" ht="12">
      <c r="A586" s="149"/>
      <c r="B586" s="2"/>
      <c r="C586" s="2"/>
      <c r="D586" s="2"/>
      <c r="E586" s="5"/>
      <c r="F586" s="17" t="s">
        <v>413</v>
      </c>
      <c r="G586" s="20" t="s">
        <v>767</v>
      </c>
      <c r="H586" s="10"/>
      <c r="I586" s="10"/>
      <c r="J586" s="10">
        <f>+J583</f>
        <v>1000000</v>
      </c>
      <c r="K586" s="10"/>
      <c r="L586" s="71"/>
      <c r="M586" s="62"/>
      <c r="N586" s="62"/>
      <c r="O586" s="62">
        <f>+O583</f>
        <v>1000000</v>
      </c>
      <c r="P586" s="62"/>
      <c r="Q586" s="62"/>
      <c r="R586" s="439"/>
      <c r="S586" s="52"/>
      <c r="T586" s="52"/>
      <c r="V586" s="52">
        <f t="shared" si="77"/>
        <v>0</v>
      </c>
      <c r="AC586" s="52"/>
      <c r="AD586" s="52"/>
      <c r="AI586" s="52"/>
    </row>
    <row r="587" spans="1:35" ht="12">
      <c r="A587" s="149"/>
      <c r="B587" s="2"/>
      <c r="C587" s="2"/>
      <c r="D587" s="2"/>
      <c r="E587" s="5"/>
      <c r="F587" s="151"/>
      <c r="G587" s="1" t="s">
        <v>708</v>
      </c>
      <c r="H587" s="10"/>
      <c r="I587" s="10"/>
      <c r="J587" s="10"/>
      <c r="K587" s="10"/>
      <c r="L587" s="62">
        <f>+H585+I585+J586</f>
        <v>67202540</v>
      </c>
      <c r="M587" s="62"/>
      <c r="N587" s="62"/>
      <c r="O587" s="62"/>
      <c r="P587" s="62"/>
      <c r="Q587" s="62"/>
      <c r="R587" s="439"/>
      <c r="S587" s="52"/>
      <c r="T587" s="52"/>
      <c r="V587" s="52">
        <f t="shared" si="77"/>
        <v>0</v>
      </c>
      <c r="AI587" s="52"/>
    </row>
    <row r="588" spans="1:35" ht="12">
      <c r="A588" s="149"/>
      <c r="B588" s="2"/>
      <c r="C588" s="2"/>
      <c r="D588" s="2"/>
      <c r="E588" s="5"/>
      <c r="F588" s="151"/>
      <c r="G588" s="1" t="s">
        <v>860</v>
      </c>
      <c r="H588" s="10"/>
      <c r="I588" s="10"/>
      <c r="J588" s="10"/>
      <c r="K588" s="10"/>
      <c r="L588" s="10"/>
      <c r="M588" s="62"/>
      <c r="N588" s="62"/>
      <c r="O588" s="62"/>
      <c r="P588" s="62"/>
      <c r="Q588" s="62"/>
      <c r="R588" s="439"/>
      <c r="S588" s="52"/>
      <c r="T588" s="52"/>
      <c r="V588" s="52">
        <f t="shared" si="77"/>
        <v>0</v>
      </c>
      <c r="AI588" s="52"/>
    </row>
    <row r="589" spans="1:35" ht="12">
      <c r="A589" s="149"/>
      <c r="B589" s="2"/>
      <c r="C589" s="2"/>
      <c r="D589" s="2"/>
      <c r="E589" s="5"/>
      <c r="F589" s="151" t="s">
        <v>73</v>
      </c>
      <c r="G589" s="20" t="s">
        <v>674</v>
      </c>
      <c r="H589" s="10">
        <f>+H585</f>
        <v>66202540</v>
      </c>
      <c r="I589" s="10"/>
      <c r="J589" s="10"/>
      <c r="K589" s="10"/>
      <c r="L589" s="71"/>
      <c r="M589" s="62">
        <f>+M585</f>
        <v>61728023.56</v>
      </c>
      <c r="N589" s="62"/>
      <c r="O589" s="62"/>
      <c r="P589" s="62"/>
      <c r="Q589" s="62"/>
      <c r="R589" s="439"/>
      <c r="S589" s="52"/>
      <c r="T589" s="52"/>
      <c r="V589" s="52">
        <f t="shared" si="77"/>
        <v>4474516.439999998</v>
      </c>
      <c r="AI589" s="52"/>
    </row>
    <row r="590" spans="1:35" ht="12">
      <c r="A590" s="149"/>
      <c r="B590" s="2"/>
      <c r="C590" s="2"/>
      <c r="D590" s="2"/>
      <c r="E590" s="5"/>
      <c r="F590" s="17" t="s">
        <v>413</v>
      </c>
      <c r="G590" s="20" t="s">
        <v>767</v>
      </c>
      <c r="H590" s="10"/>
      <c r="I590" s="10"/>
      <c r="J590" s="10">
        <f>+J586</f>
        <v>1000000</v>
      </c>
      <c r="K590" s="10"/>
      <c r="L590" s="71"/>
      <c r="M590" s="62"/>
      <c r="N590" s="62"/>
      <c r="O590" s="62">
        <f>+O586</f>
        <v>1000000</v>
      </c>
      <c r="P590" s="62"/>
      <c r="Q590" s="62"/>
      <c r="R590" s="439"/>
      <c r="S590" s="52"/>
      <c r="T590" s="52"/>
      <c r="V590" s="52">
        <f t="shared" si="77"/>
        <v>0</v>
      </c>
      <c r="AI590" s="52"/>
    </row>
    <row r="591" spans="1:35" ht="12">
      <c r="A591" s="150"/>
      <c r="B591" s="40"/>
      <c r="C591" s="40"/>
      <c r="D591" s="40"/>
      <c r="E591" s="19"/>
      <c r="F591" s="123"/>
      <c r="G591" s="90" t="s">
        <v>811</v>
      </c>
      <c r="H591" s="407"/>
      <c r="I591" s="407"/>
      <c r="J591" s="407"/>
      <c r="K591" s="407"/>
      <c r="L591" s="53">
        <f>+H589+I589+J590</f>
        <v>67202540</v>
      </c>
      <c r="M591" s="53"/>
      <c r="N591" s="53"/>
      <c r="O591" s="53"/>
      <c r="P591" s="53"/>
      <c r="Q591" s="53"/>
      <c r="R591" s="543">
        <f>+O590+M589</f>
        <v>62728023.56</v>
      </c>
      <c r="S591" s="52"/>
      <c r="T591" s="52"/>
      <c r="V591" s="52">
        <f t="shared" si="77"/>
        <v>0</v>
      </c>
      <c r="AI591" s="52"/>
    </row>
    <row r="592" spans="1:35" ht="12">
      <c r="A592" s="81"/>
      <c r="B592" s="81"/>
      <c r="C592" s="81"/>
      <c r="D592" s="81"/>
      <c r="E592" s="81"/>
      <c r="F592" s="111"/>
      <c r="G592" s="81"/>
      <c r="H592" s="81"/>
      <c r="I592" s="81"/>
      <c r="J592" s="388"/>
      <c r="K592" s="388"/>
      <c r="L592" s="81"/>
      <c r="M592" s="86"/>
      <c r="N592" s="86"/>
      <c r="O592" s="86"/>
      <c r="P592" s="86"/>
      <c r="Q592" s="86"/>
      <c r="R592" s="435"/>
      <c r="S592" s="52"/>
      <c r="T592" s="52"/>
      <c r="V592" s="52">
        <f t="shared" si="77"/>
        <v>0</v>
      </c>
      <c r="AI592" s="52"/>
    </row>
    <row r="593" spans="1:35" ht="12">
      <c r="A593" s="80"/>
      <c r="B593" s="80"/>
      <c r="C593" s="80" t="s">
        <v>107</v>
      </c>
      <c r="D593" s="88"/>
      <c r="E593" s="81"/>
      <c r="F593" s="153"/>
      <c r="G593" s="82" t="s">
        <v>888</v>
      </c>
      <c r="H593" s="399"/>
      <c r="I593" s="399"/>
      <c r="J593" s="399"/>
      <c r="K593" s="399"/>
      <c r="L593" s="399"/>
      <c r="M593" s="86"/>
      <c r="N593" s="86"/>
      <c r="O593" s="86"/>
      <c r="P593" s="86"/>
      <c r="Q593" s="86"/>
      <c r="R593" s="435"/>
      <c r="S593" s="52"/>
      <c r="T593" s="52"/>
      <c r="V593" s="52">
        <f t="shared" si="77"/>
        <v>0</v>
      </c>
      <c r="AI593" s="52"/>
    </row>
    <row r="594" spans="1:35" ht="12">
      <c r="A594" s="80"/>
      <c r="B594" s="80"/>
      <c r="C594" s="80"/>
      <c r="D594" s="89">
        <v>820</v>
      </c>
      <c r="E594" s="81"/>
      <c r="F594" s="153"/>
      <c r="G594" s="82" t="s">
        <v>621</v>
      </c>
      <c r="H594" s="399"/>
      <c r="I594" s="399"/>
      <c r="J594" s="399"/>
      <c r="K594" s="399"/>
      <c r="L594" s="399"/>
      <c r="M594" s="86"/>
      <c r="N594" s="86"/>
      <c r="O594" s="86"/>
      <c r="P594" s="86"/>
      <c r="Q594" s="86"/>
      <c r="R594" s="435"/>
      <c r="S594" s="52"/>
      <c r="T594" s="52"/>
      <c r="V594" s="52">
        <f t="shared" si="77"/>
        <v>0</v>
      </c>
      <c r="AI594" s="52"/>
    </row>
    <row r="595" spans="1:35" ht="12">
      <c r="A595" s="80">
        <f>+A582+1</f>
        <v>108</v>
      </c>
      <c r="B595" s="80"/>
      <c r="C595" s="80"/>
      <c r="D595" s="83"/>
      <c r="E595" s="85">
        <v>411</v>
      </c>
      <c r="F595" s="112"/>
      <c r="G595" s="83" t="s">
        <v>683</v>
      </c>
      <c r="H595" s="86">
        <f>13390000+T595</f>
        <v>13301140</v>
      </c>
      <c r="I595" s="399"/>
      <c r="J595" s="399"/>
      <c r="K595" s="399"/>
      <c r="L595" s="386">
        <f aca="true" t="shared" si="79" ref="L595:L608">+H595+I595+J595+K595</f>
        <v>13301140</v>
      </c>
      <c r="M595" s="86">
        <v>12985177.72</v>
      </c>
      <c r="N595" s="86"/>
      <c r="O595" s="86"/>
      <c r="P595" s="86"/>
      <c r="Q595" s="86"/>
      <c r="R595" s="435">
        <f>+M595/H595*100</f>
        <v>97.62454736962395</v>
      </c>
      <c r="S595" s="52"/>
      <c r="T595" s="52">
        <v>-88860</v>
      </c>
      <c r="V595" s="52">
        <f t="shared" si="77"/>
        <v>315962.27999999933</v>
      </c>
      <c r="AI595" s="52"/>
    </row>
    <row r="596" spans="1:35" ht="12">
      <c r="A596" s="80">
        <f aca="true" t="shared" si="80" ref="A596:A603">A595+1</f>
        <v>109</v>
      </c>
      <c r="B596" s="80"/>
      <c r="C596" s="80"/>
      <c r="D596" s="80"/>
      <c r="E596" s="85">
        <v>412</v>
      </c>
      <c r="F596" s="112"/>
      <c r="G596" s="83" t="s">
        <v>551</v>
      </c>
      <c r="H596" s="86">
        <f>2387000+T596</f>
        <v>2371094</v>
      </c>
      <c r="I596" s="399"/>
      <c r="J596" s="399"/>
      <c r="K596" s="399"/>
      <c r="L596" s="386">
        <f t="shared" si="79"/>
        <v>2371094</v>
      </c>
      <c r="M596" s="86">
        <v>2324362</v>
      </c>
      <c r="N596" s="86"/>
      <c r="O596" s="86"/>
      <c r="P596" s="86"/>
      <c r="Q596" s="86"/>
      <c r="R596" s="435">
        <f aca="true" t="shared" si="81" ref="R596:R613">+M596/H596*100</f>
        <v>98.0290954302107</v>
      </c>
      <c r="S596" s="52"/>
      <c r="T596" s="52">
        <v>-15906</v>
      </c>
      <c r="V596" s="52">
        <f t="shared" si="77"/>
        <v>46732</v>
      </c>
      <c r="AI596" s="52"/>
    </row>
    <row r="597" spans="1:35" ht="12">
      <c r="A597" s="80">
        <f t="shared" si="80"/>
        <v>110</v>
      </c>
      <c r="B597" s="80"/>
      <c r="C597" s="80"/>
      <c r="D597" s="80"/>
      <c r="E597" s="85">
        <v>413</v>
      </c>
      <c r="F597" s="112"/>
      <c r="G597" s="83" t="s">
        <v>812</v>
      </c>
      <c r="H597" s="399"/>
      <c r="I597" s="399">
        <v>15000</v>
      </c>
      <c r="J597" s="399"/>
      <c r="K597" s="399"/>
      <c r="L597" s="386">
        <f t="shared" si="79"/>
        <v>15000</v>
      </c>
      <c r="M597" s="86"/>
      <c r="N597" s="86"/>
      <c r="O597" s="86"/>
      <c r="P597" s="86"/>
      <c r="Q597" s="86"/>
      <c r="R597" s="435"/>
      <c r="S597" s="52"/>
      <c r="T597" s="52"/>
      <c r="V597" s="52">
        <f t="shared" si="77"/>
        <v>0</v>
      </c>
      <c r="AI597" s="52"/>
    </row>
    <row r="598" spans="1:35" ht="12">
      <c r="A598" s="80">
        <f t="shared" si="80"/>
        <v>111</v>
      </c>
      <c r="B598" s="80"/>
      <c r="C598" s="80"/>
      <c r="D598" s="80"/>
      <c r="E598" s="85">
        <v>414</v>
      </c>
      <c r="F598" s="112"/>
      <c r="G598" s="83" t="s">
        <v>552</v>
      </c>
      <c r="H598" s="399">
        <f>100000+T598</f>
        <v>210000</v>
      </c>
      <c r="I598" s="399">
        <v>150000</v>
      </c>
      <c r="J598" s="399">
        <v>300000</v>
      </c>
      <c r="K598" s="399"/>
      <c r="L598" s="386">
        <f t="shared" si="79"/>
        <v>660000</v>
      </c>
      <c r="M598" s="86">
        <v>210000</v>
      </c>
      <c r="N598" s="86"/>
      <c r="O598" s="86"/>
      <c r="P598" s="86"/>
      <c r="Q598" s="86"/>
      <c r="R598" s="435">
        <f t="shared" si="81"/>
        <v>100</v>
      </c>
      <c r="S598" s="52"/>
      <c r="T598" s="52">
        <f>100000+10000</f>
        <v>110000</v>
      </c>
      <c r="V598" s="52">
        <f t="shared" si="77"/>
        <v>0</v>
      </c>
      <c r="AI598" s="52"/>
    </row>
    <row r="599" spans="1:35" ht="12">
      <c r="A599" s="80">
        <f t="shared" si="80"/>
        <v>112</v>
      </c>
      <c r="B599" s="80"/>
      <c r="C599" s="80"/>
      <c r="D599" s="80"/>
      <c r="E599" s="85">
        <v>415</v>
      </c>
      <c r="F599" s="112"/>
      <c r="G599" s="83" t="s">
        <v>565</v>
      </c>
      <c r="H599" s="399"/>
      <c r="I599" s="399">
        <v>250000</v>
      </c>
      <c r="J599" s="399"/>
      <c r="K599" s="399"/>
      <c r="L599" s="386">
        <f t="shared" si="79"/>
        <v>250000</v>
      </c>
      <c r="M599" s="86"/>
      <c r="N599" s="86">
        <v>234947</v>
      </c>
      <c r="O599" s="86"/>
      <c r="P599" s="86"/>
      <c r="Q599" s="86"/>
      <c r="R599" s="435"/>
      <c r="S599" s="52"/>
      <c r="T599" s="52"/>
      <c r="V599" s="52">
        <f t="shared" si="77"/>
        <v>0</v>
      </c>
      <c r="AI599" s="52"/>
    </row>
    <row r="600" spans="1:35" ht="12">
      <c r="A600" s="80">
        <f t="shared" si="80"/>
        <v>113</v>
      </c>
      <c r="B600" s="80"/>
      <c r="C600" s="80"/>
      <c r="D600" s="80"/>
      <c r="E600" s="85">
        <v>416</v>
      </c>
      <c r="F600" s="112"/>
      <c r="G600" s="83" t="s">
        <v>547</v>
      </c>
      <c r="H600" s="399"/>
      <c r="I600" s="399">
        <v>128000</v>
      </c>
      <c r="J600" s="399"/>
      <c r="K600" s="399"/>
      <c r="L600" s="386">
        <f t="shared" si="79"/>
        <v>128000</v>
      </c>
      <c r="M600" s="86"/>
      <c r="N600" s="86"/>
      <c r="O600" s="86"/>
      <c r="P600" s="86"/>
      <c r="Q600" s="86"/>
      <c r="R600" s="435"/>
      <c r="S600" s="52"/>
      <c r="T600" s="52"/>
      <c r="V600" s="52">
        <f t="shared" si="77"/>
        <v>0</v>
      </c>
      <c r="AI600" s="52"/>
    </row>
    <row r="601" spans="1:35" ht="12">
      <c r="A601" s="80">
        <f t="shared" si="80"/>
        <v>114</v>
      </c>
      <c r="B601" s="80"/>
      <c r="C601" s="80"/>
      <c r="D601" s="80"/>
      <c r="E601" s="85">
        <v>421</v>
      </c>
      <c r="F601" s="112"/>
      <c r="G601" s="83" t="s">
        <v>567</v>
      </c>
      <c r="H601" s="399">
        <f>2860000+T601</f>
        <v>2760000</v>
      </c>
      <c r="I601" s="399">
        <v>300000</v>
      </c>
      <c r="J601" s="399"/>
      <c r="K601" s="399"/>
      <c r="L601" s="386">
        <f t="shared" si="79"/>
        <v>3060000</v>
      </c>
      <c r="M601" s="86">
        <v>2086285.03</v>
      </c>
      <c r="N601" s="86">
        <v>121026.65</v>
      </c>
      <c r="O601" s="86"/>
      <c r="P601" s="86"/>
      <c r="Q601" s="86">
        <v>678725.03</v>
      </c>
      <c r="R601" s="435">
        <f t="shared" si="81"/>
        <v>75.59003731884059</v>
      </c>
      <c r="S601" s="52"/>
      <c r="T601" s="52">
        <v>-100000</v>
      </c>
      <c r="V601" s="52">
        <f aca="true" t="shared" si="82" ref="V601:V664">+H601-(M601+Q601)</f>
        <v>-5010.060000000056</v>
      </c>
      <c r="AI601" s="52"/>
    </row>
    <row r="602" spans="1:35" ht="12">
      <c r="A602" s="80">
        <f t="shared" si="80"/>
        <v>115</v>
      </c>
      <c r="B602" s="80"/>
      <c r="C602" s="80"/>
      <c r="D602" s="80"/>
      <c r="E602" s="85">
        <v>422</v>
      </c>
      <c r="F602" s="112"/>
      <c r="G602" s="83" t="s">
        <v>569</v>
      </c>
      <c r="H602" s="399"/>
      <c r="I602" s="399">
        <v>50000</v>
      </c>
      <c r="J602" s="399"/>
      <c r="K602" s="399"/>
      <c r="L602" s="386">
        <f t="shared" si="79"/>
        <v>50000</v>
      </c>
      <c r="M602" s="86"/>
      <c r="N602" s="86">
        <v>43730</v>
      </c>
      <c r="O602" s="86"/>
      <c r="P602" s="86"/>
      <c r="Q602" s="86"/>
      <c r="R602" s="435"/>
      <c r="S602" s="52"/>
      <c r="T602" s="52"/>
      <c r="V602" s="52">
        <f t="shared" si="82"/>
        <v>0</v>
      </c>
      <c r="AI602" s="52"/>
    </row>
    <row r="603" spans="1:35" ht="12">
      <c r="A603" s="80">
        <f t="shared" si="80"/>
        <v>116</v>
      </c>
      <c r="B603" s="80"/>
      <c r="C603" s="80"/>
      <c r="D603" s="80"/>
      <c r="E603" s="85">
        <v>423</v>
      </c>
      <c r="F603" s="112"/>
      <c r="G603" s="83" t="s">
        <v>539</v>
      </c>
      <c r="H603" s="399">
        <f>2150000+T603+S603</f>
        <v>2140000</v>
      </c>
      <c r="I603" s="399">
        <v>3650000</v>
      </c>
      <c r="J603" s="399">
        <f>186000+1555000</f>
        <v>1741000</v>
      </c>
      <c r="K603" s="399"/>
      <c r="L603" s="386">
        <f>+H603+I603+J603+K603</f>
        <v>7531000</v>
      </c>
      <c r="M603" s="86">
        <v>1995016</v>
      </c>
      <c r="N603" s="86">
        <v>261567.31</v>
      </c>
      <c r="O603" s="86">
        <f>186000+1555000</f>
        <v>1741000</v>
      </c>
      <c r="P603" s="86"/>
      <c r="Q603" s="86">
        <v>203195</v>
      </c>
      <c r="R603" s="435">
        <f t="shared" si="81"/>
        <v>93.22504672897196</v>
      </c>
      <c r="S603" s="52"/>
      <c r="T603" s="52">
        <v>-10000</v>
      </c>
      <c r="V603" s="52">
        <f t="shared" si="82"/>
        <v>-58211</v>
      </c>
      <c r="AI603" s="52"/>
    </row>
    <row r="604" spans="1:35" ht="12">
      <c r="A604" s="80">
        <f>A603+1</f>
        <v>117</v>
      </c>
      <c r="B604" s="80"/>
      <c r="C604" s="80"/>
      <c r="D604" s="80"/>
      <c r="E604" s="85">
        <v>424</v>
      </c>
      <c r="F604" s="112"/>
      <c r="G604" s="83" t="s">
        <v>554</v>
      </c>
      <c r="H604" s="399">
        <f>2070000+S604</f>
        <v>2290000</v>
      </c>
      <c r="I604" s="399">
        <v>1767000</v>
      </c>
      <c r="J604" s="399">
        <f>400000+680973</f>
        <v>1080973</v>
      </c>
      <c r="K604" s="399"/>
      <c r="L604" s="386">
        <f>+H604+I604+J604+K604</f>
        <v>5137973</v>
      </c>
      <c r="M604" s="86">
        <v>2224859.7</v>
      </c>
      <c r="N604" s="86">
        <v>1119089.29</v>
      </c>
      <c r="O604" s="86">
        <f>680973+400000</f>
        <v>1080973</v>
      </c>
      <c r="P604" s="86"/>
      <c r="Q604" s="86"/>
      <c r="R604" s="435">
        <f t="shared" si="81"/>
        <v>97.15544541484718</v>
      </c>
      <c r="S604" s="52">
        <f>390000+220000-390000</f>
        <v>220000</v>
      </c>
      <c r="T604" s="52"/>
      <c r="V604" s="52">
        <f t="shared" si="82"/>
        <v>65140.299999999814</v>
      </c>
      <c r="AI604" s="52"/>
    </row>
    <row r="605" spans="1:35" ht="12">
      <c r="A605" s="80">
        <f>A604+1</f>
        <v>118</v>
      </c>
      <c r="B605" s="80"/>
      <c r="C605" s="80"/>
      <c r="D605" s="80"/>
      <c r="E605" s="85">
        <v>425</v>
      </c>
      <c r="F605" s="112"/>
      <c r="G605" s="83" t="s">
        <v>540</v>
      </c>
      <c r="H605" s="399">
        <v>300000</v>
      </c>
      <c r="I605" s="399">
        <v>130000</v>
      </c>
      <c r="J605" s="399"/>
      <c r="K605" s="399"/>
      <c r="L605" s="386">
        <f>+H605+I605+J605+K605</f>
        <v>430000</v>
      </c>
      <c r="M605" s="86">
        <v>299654.8</v>
      </c>
      <c r="N605" s="86">
        <v>18875</v>
      </c>
      <c r="O605" s="86"/>
      <c r="P605" s="86"/>
      <c r="Q605" s="86"/>
      <c r="R605" s="435">
        <f t="shared" si="81"/>
        <v>99.88493333333332</v>
      </c>
      <c r="S605" s="52"/>
      <c r="T605" s="52"/>
      <c r="V605" s="52">
        <f t="shared" si="82"/>
        <v>345.20000000001164</v>
      </c>
      <c r="AI605" s="52"/>
    </row>
    <row r="606" spans="1:35" ht="12">
      <c r="A606" s="80">
        <f>A605+1</f>
        <v>119</v>
      </c>
      <c r="B606" s="80"/>
      <c r="C606" s="80"/>
      <c r="D606" s="80"/>
      <c r="E606" s="85">
        <v>426</v>
      </c>
      <c r="F606" s="112"/>
      <c r="G606" s="83" t="s">
        <v>530</v>
      </c>
      <c r="H606" s="399">
        <f>100000-80000</f>
        <v>20000</v>
      </c>
      <c r="I606" s="399">
        <v>600000</v>
      </c>
      <c r="J606" s="399"/>
      <c r="K606" s="414"/>
      <c r="L606" s="386">
        <f t="shared" si="79"/>
        <v>620000</v>
      </c>
      <c r="M606" s="130">
        <v>9328.08</v>
      </c>
      <c r="N606" s="130">
        <v>436231.16</v>
      </c>
      <c r="O606" s="130"/>
      <c r="P606" s="130"/>
      <c r="Q606" s="130"/>
      <c r="R606" s="436">
        <f t="shared" si="81"/>
        <v>46.6404</v>
      </c>
      <c r="S606" s="52"/>
      <c r="T606" s="52"/>
      <c r="V606" s="52">
        <f t="shared" si="82"/>
        <v>10671.92</v>
      </c>
      <c r="AI606" s="52"/>
    </row>
    <row r="607" spans="1:35" ht="12">
      <c r="A607" s="126" t="s">
        <v>430</v>
      </c>
      <c r="B607" s="24"/>
      <c r="C607" s="126"/>
      <c r="D607" s="24"/>
      <c r="E607" s="127">
        <v>465</v>
      </c>
      <c r="F607" s="114"/>
      <c r="G607" s="129" t="s">
        <v>558</v>
      </c>
      <c r="H607" s="414">
        <f>+S607+T607</f>
        <v>105766</v>
      </c>
      <c r="I607" s="415"/>
      <c r="J607" s="416"/>
      <c r="K607" s="416"/>
      <c r="L607" s="386">
        <f t="shared" si="79"/>
        <v>105766</v>
      </c>
      <c r="M607" s="387">
        <v>104765.95</v>
      </c>
      <c r="N607" s="387"/>
      <c r="O607" s="130"/>
      <c r="P607" s="61"/>
      <c r="Q607" s="130"/>
      <c r="R607" s="436">
        <f t="shared" si="81"/>
        <v>99.05446930015317</v>
      </c>
      <c r="S607" s="52">
        <v>1000</v>
      </c>
      <c r="T607" s="52">
        <v>104766</v>
      </c>
      <c r="V607" s="52">
        <f t="shared" si="82"/>
        <v>1000.0500000000029</v>
      </c>
      <c r="AI607" s="52"/>
    </row>
    <row r="608" spans="1:35" ht="12">
      <c r="A608" s="126">
        <f>+A606+1</f>
        <v>120</v>
      </c>
      <c r="B608" s="24"/>
      <c r="C608" s="126"/>
      <c r="D608" s="24"/>
      <c r="E608" s="127">
        <v>482</v>
      </c>
      <c r="F608" s="109"/>
      <c r="G608" s="129" t="s">
        <v>541</v>
      </c>
      <c r="H608" s="414">
        <v>10000</v>
      </c>
      <c r="I608" s="415">
        <v>50000</v>
      </c>
      <c r="J608" s="416"/>
      <c r="K608" s="416"/>
      <c r="L608" s="416">
        <f t="shared" si="79"/>
        <v>60000</v>
      </c>
      <c r="M608" s="387"/>
      <c r="N608" s="387"/>
      <c r="O608" s="130"/>
      <c r="P608" s="61"/>
      <c r="Q608" s="130"/>
      <c r="R608" s="436">
        <f t="shared" si="81"/>
        <v>0</v>
      </c>
      <c r="S608" s="52"/>
      <c r="T608" s="52"/>
      <c r="V608" s="52">
        <f t="shared" si="82"/>
        <v>10000</v>
      </c>
      <c r="AI608" s="52"/>
    </row>
    <row r="609" spans="1:35" ht="12">
      <c r="A609" s="131"/>
      <c r="B609" s="25"/>
      <c r="C609" s="131"/>
      <c r="D609" s="25"/>
      <c r="E609" s="132"/>
      <c r="F609" s="21"/>
      <c r="G609" s="134" t="s">
        <v>604</v>
      </c>
      <c r="H609" s="417"/>
      <c r="I609" s="407"/>
      <c r="J609" s="418"/>
      <c r="K609" s="418"/>
      <c r="L609" s="418"/>
      <c r="M609" s="392"/>
      <c r="N609" s="392"/>
      <c r="O609" s="135"/>
      <c r="P609" s="53"/>
      <c r="Q609" s="135"/>
      <c r="R609" s="437"/>
      <c r="S609" s="52"/>
      <c r="T609" s="52"/>
      <c r="V609" s="52">
        <f t="shared" si="82"/>
        <v>0</v>
      </c>
      <c r="AI609" s="52"/>
    </row>
    <row r="610" spans="1:35" ht="12">
      <c r="A610" s="80">
        <f>A608+1</f>
        <v>121</v>
      </c>
      <c r="B610" s="80"/>
      <c r="C610" s="80"/>
      <c r="D610" s="80"/>
      <c r="E610" s="85">
        <v>512</v>
      </c>
      <c r="F610" s="112"/>
      <c r="G610" s="83" t="s">
        <v>572</v>
      </c>
      <c r="H610" s="399">
        <v>120000</v>
      </c>
      <c r="I610" s="399">
        <v>210000</v>
      </c>
      <c r="J610" s="399">
        <v>264027</v>
      </c>
      <c r="K610" s="417"/>
      <c r="L610" s="386">
        <f>+H610+I610+J610+K610</f>
        <v>594027</v>
      </c>
      <c r="M610" s="135">
        <v>94844</v>
      </c>
      <c r="N610" s="135">
        <v>42000</v>
      </c>
      <c r="O610" s="135">
        <v>264027</v>
      </c>
      <c r="P610" s="135"/>
      <c r="Q610" s="135"/>
      <c r="R610" s="437">
        <f t="shared" si="81"/>
        <v>79.03666666666666</v>
      </c>
      <c r="S610" s="52"/>
      <c r="T610" s="52"/>
      <c r="V610" s="52">
        <f t="shared" si="82"/>
        <v>25156</v>
      </c>
      <c r="AI610" s="52"/>
    </row>
    <row r="611" spans="1:35" ht="12">
      <c r="A611" s="80">
        <f>A610+1</f>
        <v>122</v>
      </c>
      <c r="B611" s="80"/>
      <c r="C611" s="80"/>
      <c r="D611" s="80"/>
      <c r="E611" s="85">
        <v>513</v>
      </c>
      <c r="F611" s="112"/>
      <c r="G611" s="83" t="s">
        <v>535</v>
      </c>
      <c r="H611" s="399"/>
      <c r="I611" s="399">
        <v>150000</v>
      </c>
      <c r="J611" s="399"/>
      <c r="K611" s="399"/>
      <c r="L611" s="386">
        <f>+H611+I611+J611+K611</f>
        <v>150000</v>
      </c>
      <c r="M611" s="86"/>
      <c r="N611" s="86"/>
      <c r="O611" s="86"/>
      <c r="P611" s="86"/>
      <c r="Q611" s="86"/>
      <c r="R611" s="435"/>
      <c r="S611" s="52"/>
      <c r="T611" s="52"/>
      <c r="V611" s="52">
        <f t="shared" si="82"/>
        <v>0</v>
      </c>
      <c r="AI611" s="52"/>
    </row>
    <row r="612" spans="1:35" ht="12">
      <c r="A612" s="80">
        <f>A611+1</f>
        <v>123</v>
      </c>
      <c r="B612" s="80"/>
      <c r="C612" s="80"/>
      <c r="D612" s="80"/>
      <c r="E612" s="85">
        <v>515</v>
      </c>
      <c r="F612" s="112"/>
      <c r="G612" s="83" t="s">
        <v>536</v>
      </c>
      <c r="H612" s="399">
        <f>50000+S612</f>
        <v>65000</v>
      </c>
      <c r="I612" s="399">
        <v>100000</v>
      </c>
      <c r="J612" s="399"/>
      <c r="K612" s="399"/>
      <c r="L612" s="386">
        <f>+H612+I612+J612+K612</f>
        <v>165000</v>
      </c>
      <c r="M612" s="86">
        <v>15000</v>
      </c>
      <c r="N612" s="86"/>
      <c r="O612" s="86"/>
      <c r="P612" s="86"/>
      <c r="Q612" s="86"/>
      <c r="R612" s="435">
        <f t="shared" si="81"/>
        <v>23.076923076923077</v>
      </c>
      <c r="S612" s="52">
        <v>15000</v>
      </c>
      <c r="T612" s="52"/>
      <c r="V612" s="52">
        <f t="shared" si="82"/>
        <v>50000</v>
      </c>
      <c r="AI612" s="52"/>
    </row>
    <row r="613" spans="1:35" ht="12">
      <c r="A613" s="12"/>
      <c r="B613" s="12"/>
      <c r="C613" s="12"/>
      <c r="D613" s="12"/>
      <c r="E613" s="3"/>
      <c r="F613" s="103"/>
      <c r="G613" s="3" t="s">
        <v>813</v>
      </c>
      <c r="H613" s="91">
        <f>SUM(H595:H612)</f>
        <v>23693000</v>
      </c>
      <c r="I613" s="91">
        <f>SUM(I595:I612)</f>
        <v>7550000</v>
      </c>
      <c r="J613" s="91">
        <f>SUM(J595:J612)</f>
        <v>3386000</v>
      </c>
      <c r="K613" s="91">
        <f>SUM(K595:K612)</f>
        <v>0</v>
      </c>
      <c r="L613" s="91">
        <f>+H613+I613+J613</f>
        <v>34629000</v>
      </c>
      <c r="M613" s="508">
        <f>SUM(M595:M612)</f>
        <v>22349293.279999997</v>
      </c>
      <c r="N613" s="508">
        <f>SUM(N595:N612)</f>
        <v>2277466.41</v>
      </c>
      <c r="O613" s="508">
        <f>SUM(O595:O612)</f>
        <v>3086000</v>
      </c>
      <c r="P613" s="130"/>
      <c r="Q613" s="130">
        <f>SUM(Q595:Q612)</f>
        <v>881920.03</v>
      </c>
      <c r="R613" s="435">
        <f t="shared" si="81"/>
        <v>94.32867631789979</v>
      </c>
      <c r="S613" s="52"/>
      <c r="T613" s="52"/>
      <c r="V613" s="52">
        <f t="shared" si="82"/>
        <v>461786.69000000134</v>
      </c>
      <c r="AB613" s="52"/>
      <c r="AI613" s="52"/>
    </row>
    <row r="614" spans="1:35" ht="12">
      <c r="A614" s="148"/>
      <c r="B614" s="13"/>
      <c r="C614" s="13"/>
      <c r="D614" s="13"/>
      <c r="E614" s="15"/>
      <c r="F614" s="105"/>
      <c r="G614" s="39" t="s">
        <v>713</v>
      </c>
      <c r="H614" s="415"/>
      <c r="I614" s="415"/>
      <c r="J614" s="415"/>
      <c r="K614" s="415"/>
      <c r="L614" s="415"/>
      <c r="M614" s="61"/>
      <c r="N614" s="61"/>
      <c r="O614" s="61"/>
      <c r="P614" s="61"/>
      <c r="Q614" s="61"/>
      <c r="R614" s="438"/>
      <c r="S614" s="52"/>
      <c r="T614" s="52"/>
      <c r="V614" s="52">
        <f t="shared" si="82"/>
        <v>0</v>
      </c>
      <c r="AI614" s="52"/>
    </row>
    <row r="615" spans="1:35" ht="12">
      <c r="A615" s="149"/>
      <c r="B615" s="2"/>
      <c r="C615" s="2"/>
      <c r="D615" s="2"/>
      <c r="E615" s="5"/>
      <c r="F615" s="151" t="s">
        <v>73</v>
      </c>
      <c r="G615" s="20" t="s">
        <v>674</v>
      </c>
      <c r="H615" s="10">
        <f>+H613</f>
        <v>23693000</v>
      </c>
      <c r="I615" s="10"/>
      <c r="J615" s="10"/>
      <c r="K615" s="10"/>
      <c r="L615" s="10"/>
      <c r="M615" s="62">
        <f>+M613</f>
        <v>22349293.279999997</v>
      </c>
      <c r="N615" s="62"/>
      <c r="O615" s="62"/>
      <c r="P615" s="62"/>
      <c r="Q615" s="62"/>
      <c r="R615" s="439"/>
      <c r="S615" s="52"/>
      <c r="T615" s="52"/>
      <c r="V615" s="52">
        <f t="shared" si="82"/>
        <v>1343706.7200000025</v>
      </c>
      <c r="AC615" s="52"/>
      <c r="AD615" s="52"/>
      <c r="AI615" s="52"/>
    </row>
    <row r="616" spans="1:35" ht="12">
      <c r="A616" s="149"/>
      <c r="B616" s="2"/>
      <c r="C616" s="2"/>
      <c r="D616" s="2"/>
      <c r="E616" s="5"/>
      <c r="F616" s="151" t="s">
        <v>57</v>
      </c>
      <c r="G616" s="170" t="s">
        <v>881</v>
      </c>
      <c r="H616" s="10"/>
      <c r="I616" s="10">
        <f>+I613</f>
        <v>7550000</v>
      </c>
      <c r="J616" s="10"/>
      <c r="K616" s="10"/>
      <c r="L616" s="10"/>
      <c r="M616" s="62"/>
      <c r="N616" s="62">
        <f>+N613</f>
        <v>2277466.41</v>
      </c>
      <c r="O616" s="62"/>
      <c r="P616" s="62"/>
      <c r="Q616" s="62"/>
      <c r="R616" s="439"/>
      <c r="S616" s="52"/>
      <c r="T616" s="52"/>
      <c r="V616" s="52">
        <f t="shared" si="82"/>
        <v>0</v>
      </c>
      <c r="AI616" s="52"/>
    </row>
    <row r="617" spans="1:35" ht="12">
      <c r="A617" s="149"/>
      <c r="B617" s="2"/>
      <c r="C617" s="2"/>
      <c r="D617" s="2"/>
      <c r="E617" s="5"/>
      <c r="F617" s="17" t="s">
        <v>268</v>
      </c>
      <c r="G617" s="20" t="s">
        <v>676</v>
      </c>
      <c r="H617" s="10"/>
      <c r="I617" s="10"/>
      <c r="J617" s="10">
        <f>+J613-400000</f>
        <v>2986000</v>
      </c>
      <c r="K617" s="10"/>
      <c r="L617" s="10"/>
      <c r="M617" s="62"/>
      <c r="N617" s="62"/>
      <c r="O617" s="62">
        <f>+O613-400000</f>
        <v>2686000</v>
      </c>
      <c r="P617" s="62"/>
      <c r="Q617" s="62"/>
      <c r="R617" s="439"/>
      <c r="S617" s="52"/>
      <c r="T617" s="52"/>
      <c r="V617" s="52">
        <f t="shared" si="82"/>
        <v>0</v>
      </c>
      <c r="AI617" s="52"/>
    </row>
    <row r="618" spans="1:35" ht="12">
      <c r="A618" s="149"/>
      <c r="B618" s="2"/>
      <c r="C618" s="2"/>
      <c r="D618" s="2"/>
      <c r="E618" s="5"/>
      <c r="F618" s="17" t="s">
        <v>413</v>
      </c>
      <c r="G618" s="20" t="s">
        <v>767</v>
      </c>
      <c r="H618" s="10"/>
      <c r="I618" s="10"/>
      <c r="J618" s="10">
        <f>+J613-2986000</f>
        <v>400000</v>
      </c>
      <c r="K618" s="10"/>
      <c r="L618" s="10"/>
      <c r="M618" s="62"/>
      <c r="N618" s="62"/>
      <c r="O618" s="62">
        <f>+O613-2686000</f>
        <v>400000</v>
      </c>
      <c r="P618" s="62"/>
      <c r="Q618" s="62"/>
      <c r="R618" s="439"/>
      <c r="S618" s="52"/>
      <c r="T618" s="52"/>
      <c r="V618" s="52">
        <f t="shared" si="82"/>
        <v>0</v>
      </c>
      <c r="AI618" s="52"/>
    </row>
    <row r="619" spans="1:35" ht="12">
      <c r="A619" s="149"/>
      <c r="B619" s="2"/>
      <c r="C619" s="2"/>
      <c r="D619" s="2"/>
      <c r="E619" s="5"/>
      <c r="F619" s="151"/>
      <c r="G619" s="1" t="s">
        <v>714</v>
      </c>
      <c r="H619" s="10"/>
      <c r="I619" s="10"/>
      <c r="J619" s="10"/>
      <c r="K619" s="10"/>
      <c r="L619" s="10">
        <f>+H615+I616+J617+J618</f>
        <v>34629000</v>
      </c>
      <c r="M619" s="62"/>
      <c r="N619" s="62"/>
      <c r="O619" s="62"/>
      <c r="P619" s="62"/>
      <c r="Q619" s="62"/>
      <c r="R619" s="439"/>
      <c r="S619" s="52"/>
      <c r="T619" s="52"/>
      <c r="V619" s="52">
        <f t="shared" si="82"/>
        <v>0</v>
      </c>
      <c r="AI619" s="52"/>
    </row>
    <row r="620" spans="1:35" ht="12">
      <c r="A620" s="149"/>
      <c r="B620" s="2"/>
      <c r="C620" s="2"/>
      <c r="D620" s="2"/>
      <c r="E620" s="5"/>
      <c r="F620" s="151"/>
      <c r="G620" s="1" t="s">
        <v>861</v>
      </c>
      <c r="H620" s="10"/>
      <c r="I620" s="10"/>
      <c r="J620" s="10"/>
      <c r="K620" s="10"/>
      <c r="L620" s="10"/>
      <c r="M620" s="62"/>
      <c r="N620" s="62"/>
      <c r="O620" s="62"/>
      <c r="P620" s="62"/>
      <c r="Q620" s="62"/>
      <c r="R620" s="439"/>
      <c r="S620" s="52"/>
      <c r="T620" s="52"/>
      <c r="V620" s="52">
        <f t="shared" si="82"/>
        <v>0</v>
      </c>
      <c r="AI620" s="52"/>
    </row>
    <row r="621" spans="1:35" ht="12">
      <c r="A621" s="149"/>
      <c r="B621" s="2"/>
      <c r="C621" s="2"/>
      <c r="D621" s="2"/>
      <c r="E621" s="5"/>
      <c r="F621" s="151" t="s">
        <v>73</v>
      </c>
      <c r="G621" s="20" t="s">
        <v>674</v>
      </c>
      <c r="H621" s="10">
        <f>+H615</f>
        <v>23693000</v>
      </c>
      <c r="I621" s="10"/>
      <c r="J621" s="10"/>
      <c r="K621" s="10"/>
      <c r="L621" s="10"/>
      <c r="M621" s="62">
        <f>+M615</f>
        <v>22349293.279999997</v>
      </c>
      <c r="N621" s="62"/>
      <c r="O621" s="62"/>
      <c r="P621" s="62"/>
      <c r="Q621" s="62"/>
      <c r="R621" s="439"/>
      <c r="S621" s="52"/>
      <c r="T621" s="52"/>
      <c r="V621" s="52">
        <f t="shared" si="82"/>
        <v>1343706.7200000025</v>
      </c>
      <c r="AI621" s="52"/>
    </row>
    <row r="622" spans="1:35" ht="12">
      <c r="A622" s="149"/>
      <c r="B622" s="2"/>
      <c r="C622" s="2"/>
      <c r="D622" s="2"/>
      <c r="E622" s="5"/>
      <c r="F622" s="151" t="s">
        <v>57</v>
      </c>
      <c r="G622" s="170" t="s">
        <v>881</v>
      </c>
      <c r="H622" s="10"/>
      <c r="I622" s="10">
        <f>+I616</f>
        <v>7550000</v>
      </c>
      <c r="J622" s="10"/>
      <c r="K622" s="10"/>
      <c r="L622" s="10"/>
      <c r="M622" s="62"/>
      <c r="N622" s="62">
        <f>+N616</f>
        <v>2277466.41</v>
      </c>
      <c r="O622" s="62"/>
      <c r="P622" s="62"/>
      <c r="Q622" s="62"/>
      <c r="R622" s="439"/>
      <c r="S622" s="52"/>
      <c r="T622" s="52"/>
      <c r="V622" s="52">
        <f t="shared" si="82"/>
        <v>0</v>
      </c>
      <c r="AI622" s="52"/>
    </row>
    <row r="623" spans="1:35" ht="12">
      <c r="A623" s="149"/>
      <c r="B623" s="2"/>
      <c r="C623" s="2"/>
      <c r="D623" s="2"/>
      <c r="E623" s="5"/>
      <c r="F623" s="17" t="s">
        <v>268</v>
      </c>
      <c r="G623" s="20" t="s">
        <v>676</v>
      </c>
      <c r="H623" s="10"/>
      <c r="I623" s="10"/>
      <c r="J623" s="10">
        <f>+J617</f>
        <v>2986000</v>
      </c>
      <c r="K623" s="10"/>
      <c r="L623" s="10"/>
      <c r="M623" s="62"/>
      <c r="N623" s="62"/>
      <c r="O623" s="62">
        <f>+O617</f>
        <v>2686000</v>
      </c>
      <c r="P623" s="62"/>
      <c r="Q623" s="62"/>
      <c r="R623" s="439"/>
      <c r="S623" s="52"/>
      <c r="T623" s="52"/>
      <c r="V623" s="52">
        <f t="shared" si="82"/>
        <v>0</v>
      </c>
      <c r="AI623" s="52"/>
    </row>
    <row r="624" spans="1:35" ht="12">
      <c r="A624" s="149"/>
      <c r="B624" s="2"/>
      <c r="C624" s="2"/>
      <c r="D624" s="2"/>
      <c r="E624" s="5"/>
      <c r="F624" s="17" t="s">
        <v>413</v>
      </c>
      <c r="G624" s="20" t="s">
        <v>767</v>
      </c>
      <c r="H624" s="10"/>
      <c r="I624" s="10"/>
      <c r="J624" s="10">
        <f>+J618</f>
        <v>400000</v>
      </c>
      <c r="K624" s="10"/>
      <c r="L624" s="10"/>
      <c r="M624" s="62"/>
      <c r="N624" s="62"/>
      <c r="O624" s="62">
        <f>+O618</f>
        <v>400000</v>
      </c>
      <c r="P624" s="62"/>
      <c r="Q624" s="62"/>
      <c r="R624" s="439"/>
      <c r="S624" s="52"/>
      <c r="T624" s="52"/>
      <c r="V624" s="52">
        <f t="shared" si="82"/>
        <v>0</v>
      </c>
      <c r="AI624" s="52"/>
    </row>
    <row r="625" spans="1:35" ht="12">
      <c r="A625" s="150"/>
      <c r="B625" s="40"/>
      <c r="C625" s="40"/>
      <c r="D625" s="40"/>
      <c r="E625" s="19"/>
      <c r="F625" s="123"/>
      <c r="G625" s="90" t="s">
        <v>814</v>
      </c>
      <c r="H625" s="407"/>
      <c r="I625" s="407"/>
      <c r="J625" s="407"/>
      <c r="K625" s="10"/>
      <c r="L625" s="10">
        <f>+H621+I622+J623+J624</f>
        <v>34629000</v>
      </c>
      <c r="M625" s="53"/>
      <c r="N625" s="53"/>
      <c r="O625" s="53"/>
      <c r="P625" s="53"/>
      <c r="Q625" s="53"/>
      <c r="R625" s="543">
        <f>+O624+O623+N622+M621</f>
        <v>27712759.689999998</v>
      </c>
      <c r="S625" s="52"/>
      <c r="T625" s="52"/>
      <c r="V625" s="52">
        <f t="shared" si="82"/>
        <v>0</v>
      </c>
      <c r="AI625" s="52"/>
    </row>
    <row r="626" spans="1:35" ht="12">
      <c r="A626" s="88"/>
      <c r="B626" s="88"/>
      <c r="C626" s="88"/>
      <c r="D626" s="85"/>
      <c r="E626" s="82"/>
      <c r="F626" s="153"/>
      <c r="G626" s="82"/>
      <c r="H626" s="399"/>
      <c r="I626" s="399"/>
      <c r="J626" s="399"/>
      <c r="K626" s="399"/>
      <c r="L626" s="399"/>
      <c r="M626" s="86"/>
      <c r="N626" s="86"/>
      <c r="O626" s="86"/>
      <c r="P626" s="86"/>
      <c r="Q626" s="86"/>
      <c r="R626" s="435"/>
      <c r="S626" s="52"/>
      <c r="T626" s="52"/>
      <c r="V626" s="52">
        <f t="shared" si="82"/>
        <v>0</v>
      </c>
      <c r="AI626" s="52"/>
    </row>
    <row r="627" spans="1:35" ht="12">
      <c r="A627" s="80"/>
      <c r="B627" s="80"/>
      <c r="C627" s="80" t="s">
        <v>108</v>
      </c>
      <c r="D627" s="89"/>
      <c r="F627" s="153"/>
      <c r="G627" s="82" t="s">
        <v>911</v>
      </c>
      <c r="H627" s="399"/>
      <c r="I627" s="399"/>
      <c r="J627" s="399"/>
      <c r="K627" s="399"/>
      <c r="L627" s="399"/>
      <c r="M627" s="86"/>
      <c r="N627" s="86"/>
      <c r="O627" s="86"/>
      <c r="P627" s="86"/>
      <c r="Q627" s="86"/>
      <c r="R627" s="435"/>
      <c r="S627" s="52"/>
      <c r="T627" s="52"/>
      <c r="V627" s="52">
        <f t="shared" si="82"/>
        <v>0</v>
      </c>
      <c r="AI627" s="52"/>
    </row>
    <row r="628" spans="1:35" ht="12">
      <c r="A628" s="80"/>
      <c r="B628" s="80"/>
      <c r="C628" s="80"/>
      <c r="D628" s="89">
        <v>820</v>
      </c>
      <c r="E628" s="81"/>
      <c r="F628" s="153"/>
      <c r="G628" s="82" t="s">
        <v>621</v>
      </c>
      <c r="H628" s="399"/>
      <c r="I628" s="399"/>
      <c r="J628" s="399"/>
      <c r="K628" s="399"/>
      <c r="L628" s="399"/>
      <c r="M628" s="86"/>
      <c r="N628" s="86"/>
      <c r="O628" s="86"/>
      <c r="P628" s="86"/>
      <c r="Q628" s="86"/>
      <c r="R628" s="435"/>
      <c r="S628" s="52"/>
      <c r="T628" s="52"/>
      <c r="V628" s="52">
        <f t="shared" si="82"/>
        <v>0</v>
      </c>
      <c r="AI628" s="52"/>
    </row>
    <row r="629" spans="1:35" ht="12">
      <c r="A629" s="80">
        <f>A612+1</f>
        <v>124</v>
      </c>
      <c r="B629" s="80"/>
      <c r="C629" s="80"/>
      <c r="D629" s="80"/>
      <c r="E629" s="85">
        <v>411</v>
      </c>
      <c r="F629" s="112"/>
      <c r="G629" s="83" t="s">
        <v>683</v>
      </c>
      <c r="H629" s="86">
        <f>7998000+T629</f>
        <v>7825431</v>
      </c>
      <c r="I629" s="399"/>
      <c r="J629" s="399"/>
      <c r="K629" s="399"/>
      <c r="L629" s="386">
        <f aca="true" t="shared" si="83" ref="L629:L644">+H629+I629+J629+K629</f>
        <v>7825431</v>
      </c>
      <c r="M629" s="86">
        <v>7825430.96</v>
      </c>
      <c r="N629" s="86"/>
      <c r="O629" s="86"/>
      <c r="P629" s="86"/>
      <c r="Q629" s="86"/>
      <c r="R629" s="435">
        <f>+M629/H629*100</f>
        <v>99.99999948884604</v>
      </c>
      <c r="S629" s="52"/>
      <c r="T629" s="52">
        <f>-60000-67708+15307-60168</f>
        <v>-172569</v>
      </c>
      <c r="V629" s="52">
        <f t="shared" si="82"/>
        <v>0.0400000000372529</v>
      </c>
      <c r="AI629" s="52"/>
    </row>
    <row r="630" spans="1:35" ht="12">
      <c r="A630" s="80">
        <f>A629+1</f>
        <v>125</v>
      </c>
      <c r="B630" s="80"/>
      <c r="C630" s="80"/>
      <c r="D630" s="80"/>
      <c r="E630" s="85">
        <v>412</v>
      </c>
      <c r="F630" s="112"/>
      <c r="G630" s="83" t="s">
        <v>551</v>
      </c>
      <c r="H630" s="86">
        <f>1433000+T630</f>
        <v>1406656</v>
      </c>
      <c r="I630" s="399"/>
      <c r="J630" s="399"/>
      <c r="K630" s="399"/>
      <c r="L630" s="386">
        <f t="shared" si="83"/>
        <v>1406656</v>
      </c>
      <c r="M630" s="86">
        <v>1406655.7</v>
      </c>
      <c r="N630" s="86"/>
      <c r="O630" s="86"/>
      <c r="P630" s="86"/>
      <c r="Q630" s="86"/>
      <c r="R630" s="435">
        <f aca="true" t="shared" si="84" ref="R630:R645">+M630/H630*100</f>
        <v>99.99997867282406</v>
      </c>
      <c r="S630" s="52"/>
      <c r="T630" s="52">
        <f>-26000+10426-10770</f>
        <v>-26344</v>
      </c>
      <c r="V630" s="52">
        <f t="shared" si="82"/>
        <v>0.30000000004656613</v>
      </c>
      <c r="AI630" s="52"/>
    </row>
    <row r="631" spans="1:35" ht="12">
      <c r="A631" s="80">
        <f aca="true" t="shared" si="85" ref="A631:A639">A630+1</f>
        <v>126</v>
      </c>
      <c r="B631" s="80"/>
      <c r="C631" s="80"/>
      <c r="D631" s="80"/>
      <c r="E631" s="85">
        <v>413</v>
      </c>
      <c r="F631" s="112"/>
      <c r="G631" s="83" t="s">
        <v>812</v>
      </c>
      <c r="H631" s="399">
        <v>120000</v>
      </c>
      <c r="I631" s="399">
        <v>10000</v>
      </c>
      <c r="J631" s="399"/>
      <c r="K631" s="399"/>
      <c r="L631" s="386">
        <f t="shared" si="83"/>
        <v>130000</v>
      </c>
      <c r="M631" s="86">
        <v>34961</v>
      </c>
      <c r="N631" s="86">
        <v>20</v>
      </c>
      <c r="O631" s="86"/>
      <c r="P631" s="86"/>
      <c r="Q631" s="86">
        <v>6720</v>
      </c>
      <c r="R631" s="435">
        <f t="shared" si="84"/>
        <v>29.134166666666665</v>
      </c>
      <c r="S631" s="52"/>
      <c r="T631" s="52"/>
      <c r="V631" s="52">
        <f t="shared" si="82"/>
        <v>78319</v>
      </c>
      <c r="AI631" s="52"/>
    </row>
    <row r="632" spans="1:35" ht="12">
      <c r="A632" s="80">
        <f t="shared" si="85"/>
        <v>127</v>
      </c>
      <c r="B632" s="80"/>
      <c r="C632" s="80"/>
      <c r="D632" s="80"/>
      <c r="E632" s="85">
        <v>414</v>
      </c>
      <c r="F632" s="112"/>
      <c r="G632" s="83" t="s">
        <v>552</v>
      </c>
      <c r="H632" s="399">
        <f>90000+T632+S632</f>
        <v>226000</v>
      </c>
      <c r="I632" s="399"/>
      <c r="J632" s="399">
        <v>200000</v>
      </c>
      <c r="K632" s="399"/>
      <c r="L632" s="386">
        <f t="shared" si="83"/>
        <v>426000</v>
      </c>
      <c r="M632" s="86">
        <v>226000</v>
      </c>
      <c r="N632" s="86"/>
      <c r="O632" s="86"/>
      <c r="P632" s="86"/>
      <c r="Q632" s="86"/>
      <c r="R632" s="435">
        <f t="shared" si="84"/>
        <v>100</v>
      </c>
      <c r="S632" s="52">
        <v>50000</v>
      </c>
      <c r="T632" s="52">
        <f>60000+26000</f>
        <v>86000</v>
      </c>
      <c r="V632" s="52">
        <f t="shared" si="82"/>
        <v>0</v>
      </c>
      <c r="AI632" s="52"/>
    </row>
    <row r="633" spans="1:35" ht="12">
      <c r="A633" s="80">
        <f t="shared" si="85"/>
        <v>128</v>
      </c>
      <c r="B633" s="80"/>
      <c r="C633" s="80"/>
      <c r="D633" s="80"/>
      <c r="E633" s="85">
        <v>416</v>
      </c>
      <c r="F633" s="112"/>
      <c r="G633" s="83" t="s">
        <v>547</v>
      </c>
      <c r="H633" s="399">
        <f>+T633</f>
        <v>67708</v>
      </c>
      <c r="I633" s="399">
        <v>0</v>
      </c>
      <c r="J633" s="399"/>
      <c r="K633" s="399"/>
      <c r="L633" s="386">
        <f t="shared" si="83"/>
        <v>67708</v>
      </c>
      <c r="M633" s="86">
        <v>67707.9</v>
      </c>
      <c r="N633" s="86"/>
      <c r="O633" s="86"/>
      <c r="P633" s="86"/>
      <c r="Q633" s="86"/>
      <c r="R633" s="435">
        <f t="shared" si="84"/>
        <v>99.9998523069652</v>
      </c>
      <c r="S633" s="52"/>
      <c r="T633" s="52">
        <v>67708</v>
      </c>
      <c r="V633" s="52">
        <f t="shared" si="82"/>
        <v>0.10000000000582077</v>
      </c>
      <c r="AI633" s="52"/>
    </row>
    <row r="634" spans="1:35" ht="12">
      <c r="A634" s="80">
        <f t="shared" si="85"/>
        <v>129</v>
      </c>
      <c r="B634" s="80"/>
      <c r="C634" s="80"/>
      <c r="D634" s="80"/>
      <c r="E634" s="85">
        <v>421</v>
      </c>
      <c r="F634" s="112"/>
      <c r="G634" s="83" t="s">
        <v>567</v>
      </c>
      <c r="H634" s="399">
        <v>1394267</v>
      </c>
      <c r="I634" s="399">
        <v>20000</v>
      </c>
      <c r="J634" s="399"/>
      <c r="K634" s="399"/>
      <c r="L634" s="386">
        <f t="shared" si="83"/>
        <v>1414267</v>
      </c>
      <c r="M634" s="86">
        <v>934524.09</v>
      </c>
      <c r="N634" s="86">
        <v>9944.41</v>
      </c>
      <c r="O634" s="86"/>
      <c r="P634" s="86"/>
      <c r="Q634" s="86">
        <v>278625.84</v>
      </c>
      <c r="R634" s="435">
        <f t="shared" si="84"/>
        <v>67.02619297451635</v>
      </c>
      <c r="S634" s="52"/>
      <c r="T634" s="52">
        <v>-25733</v>
      </c>
      <c r="V634" s="52">
        <f t="shared" si="82"/>
        <v>181117.07000000007</v>
      </c>
      <c r="AI634" s="52"/>
    </row>
    <row r="635" spans="1:35" ht="12">
      <c r="A635" s="80">
        <f>A634+1</f>
        <v>130</v>
      </c>
      <c r="B635" s="80"/>
      <c r="C635" s="80"/>
      <c r="D635" s="80"/>
      <c r="E635" s="85">
        <v>422</v>
      </c>
      <c r="F635" s="112"/>
      <c r="G635" s="83" t="s">
        <v>569</v>
      </c>
      <c r="H635" s="399">
        <v>40000</v>
      </c>
      <c r="I635" s="399">
        <v>30000</v>
      </c>
      <c r="J635" s="399"/>
      <c r="K635" s="399"/>
      <c r="L635" s="386">
        <f t="shared" si="83"/>
        <v>70000</v>
      </c>
      <c r="M635" s="86">
        <v>6000</v>
      </c>
      <c r="N635" s="86">
        <v>10554</v>
      </c>
      <c r="O635" s="86"/>
      <c r="P635" s="86"/>
      <c r="Q635" s="86"/>
      <c r="R635" s="435">
        <f t="shared" si="84"/>
        <v>15</v>
      </c>
      <c r="S635" s="52"/>
      <c r="T635" s="52"/>
      <c r="V635" s="52">
        <f t="shared" si="82"/>
        <v>34000</v>
      </c>
      <c r="AI635" s="52"/>
    </row>
    <row r="636" spans="1:35" ht="12">
      <c r="A636" s="80">
        <f t="shared" si="85"/>
        <v>131</v>
      </c>
      <c r="B636" s="80"/>
      <c r="C636" s="80"/>
      <c r="D636" s="80"/>
      <c r="E636" s="85">
        <v>423</v>
      </c>
      <c r="F636" s="112"/>
      <c r="G636" s="83" t="s">
        <v>539</v>
      </c>
      <c r="H636" s="399">
        <v>600000</v>
      </c>
      <c r="I636" s="399">
        <f>100000+U636</f>
        <v>86438</v>
      </c>
      <c r="J636" s="399"/>
      <c r="K636" s="399"/>
      <c r="L636" s="386">
        <f t="shared" si="83"/>
        <v>686438</v>
      </c>
      <c r="M636" s="86">
        <v>303981.46</v>
      </c>
      <c r="N636" s="86">
        <v>53837.83</v>
      </c>
      <c r="O636" s="86"/>
      <c r="P636" s="86"/>
      <c r="Q636" s="86">
        <v>59486.34</v>
      </c>
      <c r="R636" s="435">
        <f t="shared" si="84"/>
        <v>50.663576666666664</v>
      </c>
      <c r="S636" s="52"/>
      <c r="T636" s="52"/>
      <c r="U636" s="66">
        <v>-13562</v>
      </c>
      <c r="V636" s="52">
        <f t="shared" si="82"/>
        <v>236532.19999999995</v>
      </c>
      <c r="AI636" s="52"/>
    </row>
    <row r="637" spans="1:35" ht="12">
      <c r="A637" s="80">
        <f t="shared" si="85"/>
        <v>132</v>
      </c>
      <c r="B637" s="80"/>
      <c r="C637" s="80"/>
      <c r="D637" s="80"/>
      <c r="E637" s="85">
        <v>424</v>
      </c>
      <c r="F637" s="112"/>
      <c r="G637" s="83" t="s">
        <v>554</v>
      </c>
      <c r="H637" s="399">
        <v>300000</v>
      </c>
      <c r="I637" s="399">
        <v>80000</v>
      </c>
      <c r="J637" s="399"/>
      <c r="K637" s="399"/>
      <c r="L637" s="386">
        <f t="shared" si="83"/>
        <v>380000</v>
      </c>
      <c r="M637" s="86">
        <v>96131.84</v>
      </c>
      <c r="N637" s="86">
        <v>62897.91</v>
      </c>
      <c r="O637" s="86"/>
      <c r="P637" s="86"/>
      <c r="Q637" s="86">
        <v>6310</v>
      </c>
      <c r="R637" s="435">
        <f t="shared" si="84"/>
        <v>32.04394666666667</v>
      </c>
      <c r="S637" s="52"/>
      <c r="T637" s="52"/>
      <c r="V637" s="52">
        <f t="shared" si="82"/>
        <v>197558.16</v>
      </c>
      <c r="AI637" s="52"/>
    </row>
    <row r="638" spans="1:35" ht="12">
      <c r="A638" s="80">
        <f t="shared" si="85"/>
        <v>133</v>
      </c>
      <c r="B638" s="80"/>
      <c r="C638" s="80"/>
      <c r="D638" s="80"/>
      <c r="E638" s="85">
        <v>425</v>
      </c>
      <c r="F638" s="112"/>
      <c r="G638" s="83" t="s">
        <v>540</v>
      </c>
      <c r="H638" s="399">
        <v>120000</v>
      </c>
      <c r="I638" s="399">
        <v>20000</v>
      </c>
      <c r="J638" s="399"/>
      <c r="K638" s="399"/>
      <c r="L638" s="386">
        <f t="shared" si="83"/>
        <v>140000</v>
      </c>
      <c r="M638" s="86">
        <v>8448</v>
      </c>
      <c r="N638" s="86">
        <v>9816</v>
      </c>
      <c r="O638" s="86"/>
      <c r="P638" s="86"/>
      <c r="Q638" s="86"/>
      <c r="R638" s="435">
        <f t="shared" si="84"/>
        <v>7.04</v>
      </c>
      <c r="S638" s="52"/>
      <c r="T638" s="52"/>
      <c r="V638" s="52">
        <f t="shared" si="82"/>
        <v>111552</v>
      </c>
      <c r="AI638" s="52"/>
    </row>
    <row r="639" spans="1:35" ht="12">
      <c r="A639" s="80">
        <f t="shared" si="85"/>
        <v>134</v>
      </c>
      <c r="B639" s="80"/>
      <c r="C639" s="80"/>
      <c r="D639" s="80"/>
      <c r="E639" s="85">
        <v>426</v>
      </c>
      <c r="F639" s="112"/>
      <c r="G639" s="83" t="s">
        <v>530</v>
      </c>
      <c r="H639" s="399">
        <v>120000</v>
      </c>
      <c r="I639" s="399">
        <v>60000</v>
      </c>
      <c r="J639" s="399"/>
      <c r="K639" s="399"/>
      <c r="L639" s="386">
        <f t="shared" si="83"/>
        <v>180000</v>
      </c>
      <c r="M639" s="86">
        <v>77446</v>
      </c>
      <c r="N639" s="86">
        <v>72612.34</v>
      </c>
      <c r="O639" s="86"/>
      <c r="P639" s="86"/>
      <c r="Q639" s="86">
        <v>23737</v>
      </c>
      <c r="R639" s="435">
        <f t="shared" si="84"/>
        <v>64.53833333333333</v>
      </c>
      <c r="S639" s="52"/>
      <c r="T639" s="52"/>
      <c r="V639" s="52">
        <f t="shared" si="82"/>
        <v>18817</v>
      </c>
      <c r="AI639" s="52"/>
    </row>
    <row r="640" spans="1:35" ht="12">
      <c r="A640" s="128" t="s">
        <v>431</v>
      </c>
      <c r="B640" s="126"/>
      <c r="C640" s="126"/>
      <c r="D640" s="126"/>
      <c r="E640" s="127">
        <v>465</v>
      </c>
      <c r="F640" s="152"/>
      <c r="G640" s="129" t="s">
        <v>558</v>
      </c>
      <c r="H640" s="414">
        <f>+T640+S640</f>
        <v>71938</v>
      </c>
      <c r="I640" s="414"/>
      <c r="J640" s="414"/>
      <c r="K640" s="414"/>
      <c r="L640" s="387">
        <f t="shared" si="83"/>
        <v>71938</v>
      </c>
      <c r="M640" s="130">
        <v>70937.66</v>
      </c>
      <c r="N640" s="130"/>
      <c r="O640" s="130"/>
      <c r="P640" s="130"/>
      <c r="Q640" s="130"/>
      <c r="R640" s="435">
        <f t="shared" si="84"/>
        <v>98.60944146348245</v>
      </c>
      <c r="S640" s="52">
        <v>1000</v>
      </c>
      <c r="T640" s="52">
        <v>70938</v>
      </c>
      <c r="V640" s="52">
        <f t="shared" si="82"/>
        <v>1000.3399999999965</v>
      </c>
      <c r="AI640" s="52"/>
    </row>
    <row r="641" spans="1:35" ht="12">
      <c r="A641" s="521"/>
      <c r="B641" s="126"/>
      <c r="C641" s="24"/>
      <c r="D641" s="126"/>
      <c r="E641" s="38">
        <v>482</v>
      </c>
      <c r="F641" s="152"/>
      <c r="G641" s="129" t="s">
        <v>541</v>
      </c>
      <c r="H641" s="414"/>
      <c r="I641" s="415">
        <f>+U641</f>
        <v>13562</v>
      </c>
      <c r="J641" s="414"/>
      <c r="K641" s="415"/>
      <c r="L641" s="130"/>
      <c r="M641" s="130"/>
      <c r="N641" s="61">
        <v>13562</v>
      </c>
      <c r="O641" s="130"/>
      <c r="P641" s="61"/>
      <c r="Q641" s="61"/>
      <c r="R641" s="436"/>
      <c r="S641" s="52"/>
      <c r="T641" s="52"/>
      <c r="U641" s="66">
        <v>13562</v>
      </c>
      <c r="V641" s="52">
        <f t="shared" si="82"/>
        <v>0</v>
      </c>
      <c r="AI641" s="52"/>
    </row>
    <row r="642" spans="1:35" ht="12">
      <c r="A642" s="533"/>
      <c r="B642" s="131"/>
      <c r="C642" s="25"/>
      <c r="D642" s="131"/>
      <c r="E642" s="23"/>
      <c r="F642" s="447"/>
      <c r="G642" s="134" t="s">
        <v>604</v>
      </c>
      <c r="H642" s="417"/>
      <c r="I642" s="407"/>
      <c r="J642" s="417"/>
      <c r="K642" s="407"/>
      <c r="L642" s="135"/>
      <c r="M642" s="135"/>
      <c r="N642" s="53"/>
      <c r="O642" s="135"/>
      <c r="P642" s="53"/>
      <c r="Q642" s="53"/>
      <c r="R642" s="437"/>
      <c r="S642" s="52"/>
      <c r="T642" s="52"/>
      <c r="V642" s="52">
        <f t="shared" si="82"/>
        <v>0</v>
      </c>
      <c r="AI642" s="52"/>
    </row>
    <row r="643" spans="1:35" ht="12">
      <c r="A643" s="131">
        <f>A639+1</f>
        <v>135</v>
      </c>
      <c r="B643" s="131"/>
      <c r="C643" s="131"/>
      <c r="D643" s="131"/>
      <c r="E643" s="132">
        <v>512</v>
      </c>
      <c r="F643" s="447"/>
      <c r="G643" s="134" t="s">
        <v>572</v>
      </c>
      <c r="H643" s="417">
        <f>150000+S643</f>
        <v>192000</v>
      </c>
      <c r="I643" s="417">
        <v>20000</v>
      </c>
      <c r="J643" s="417"/>
      <c r="K643" s="417"/>
      <c r="L643" s="392">
        <f t="shared" si="83"/>
        <v>212000</v>
      </c>
      <c r="M643" s="135">
        <v>189076.4</v>
      </c>
      <c r="N643" s="135">
        <v>33930</v>
      </c>
      <c r="O643" s="135"/>
      <c r="P643" s="135"/>
      <c r="Q643" s="135"/>
      <c r="R643" s="437">
        <f t="shared" si="84"/>
        <v>98.47729166666667</v>
      </c>
      <c r="S643" s="52">
        <v>42000</v>
      </c>
      <c r="T643" s="52"/>
      <c r="V643" s="52">
        <f t="shared" si="82"/>
        <v>2923.600000000006</v>
      </c>
      <c r="AI643" s="52"/>
    </row>
    <row r="644" spans="1:35" ht="12">
      <c r="A644" s="80">
        <f>A643+1</f>
        <v>136</v>
      </c>
      <c r="B644" s="80"/>
      <c r="C644" s="80"/>
      <c r="D644" s="80"/>
      <c r="E644" s="85">
        <v>515</v>
      </c>
      <c r="F644" s="112"/>
      <c r="G644" s="83" t="s">
        <v>536</v>
      </c>
      <c r="H644" s="399">
        <v>280000</v>
      </c>
      <c r="I644" s="399">
        <v>80000</v>
      </c>
      <c r="J644" s="399"/>
      <c r="K644" s="399"/>
      <c r="L644" s="386">
        <f t="shared" si="83"/>
        <v>360000</v>
      </c>
      <c r="M644" s="86">
        <v>162048.1</v>
      </c>
      <c r="N644" s="86">
        <v>43709.8</v>
      </c>
      <c r="O644" s="86"/>
      <c r="P644" s="86"/>
      <c r="Q644" s="86">
        <v>9076.76</v>
      </c>
      <c r="R644" s="435">
        <f t="shared" si="84"/>
        <v>57.87432142857143</v>
      </c>
      <c r="S644" s="52"/>
      <c r="T644" s="52"/>
      <c r="V644" s="52">
        <f t="shared" si="82"/>
        <v>108875.13999999998</v>
      </c>
      <c r="AI644" s="52"/>
    </row>
    <row r="645" spans="1:35" ht="12">
      <c r="A645" s="12"/>
      <c r="B645" s="12"/>
      <c r="C645" s="12"/>
      <c r="D645" s="12"/>
      <c r="E645" s="3"/>
      <c r="F645" s="103"/>
      <c r="G645" s="3" t="s">
        <v>815</v>
      </c>
      <c r="H645" s="91">
        <f aca="true" t="shared" si="86" ref="H645:N645">SUM(H629:H644)</f>
        <v>12764000</v>
      </c>
      <c r="I645" s="91">
        <f t="shared" si="86"/>
        <v>420000</v>
      </c>
      <c r="J645" s="91">
        <f t="shared" si="86"/>
        <v>200000</v>
      </c>
      <c r="K645" s="91">
        <f t="shared" si="86"/>
        <v>0</v>
      </c>
      <c r="L645" s="91">
        <f t="shared" si="86"/>
        <v>13370438</v>
      </c>
      <c r="M645" s="508">
        <f t="shared" si="86"/>
        <v>11409349.110000001</v>
      </c>
      <c r="N645" s="508">
        <f t="shared" si="86"/>
        <v>310884.29</v>
      </c>
      <c r="O645" s="130"/>
      <c r="P645" s="130"/>
      <c r="Q645" s="130">
        <f>SUM(Q629:Q644)</f>
        <v>383955.94000000006</v>
      </c>
      <c r="R645" s="435">
        <f t="shared" si="84"/>
        <v>89.38694069257286</v>
      </c>
      <c r="S645" s="52"/>
      <c r="T645" s="52"/>
      <c r="V645" s="52">
        <f t="shared" si="82"/>
        <v>970694.9499999993</v>
      </c>
      <c r="AB645" s="52"/>
      <c r="AI645" s="52"/>
    </row>
    <row r="646" spans="1:35" ht="12">
      <c r="A646" s="148"/>
      <c r="B646" s="13"/>
      <c r="C646" s="13"/>
      <c r="D646" s="13"/>
      <c r="E646" s="15"/>
      <c r="F646" s="105"/>
      <c r="G646" s="39" t="s">
        <v>713</v>
      </c>
      <c r="H646" s="415"/>
      <c r="I646" s="415"/>
      <c r="J646" s="415"/>
      <c r="K646" s="415"/>
      <c r="L646" s="415"/>
      <c r="M646" s="61"/>
      <c r="N646" s="61"/>
      <c r="O646" s="61"/>
      <c r="P646" s="61"/>
      <c r="Q646" s="61"/>
      <c r="R646" s="438"/>
      <c r="S646" s="52"/>
      <c r="T646" s="52"/>
      <c r="V646" s="52">
        <f t="shared" si="82"/>
        <v>0</v>
      </c>
      <c r="AI646" s="52"/>
    </row>
    <row r="647" spans="1:35" ht="12">
      <c r="A647" s="149"/>
      <c r="B647" s="2"/>
      <c r="C647" s="2"/>
      <c r="D647" s="2"/>
      <c r="E647" s="5"/>
      <c r="F647" s="151" t="s">
        <v>73</v>
      </c>
      <c r="G647" s="20" t="s">
        <v>674</v>
      </c>
      <c r="H647" s="10">
        <f>+H645</f>
        <v>12764000</v>
      </c>
      <c r="I647" s="10"/>
      <c r="J647" s="10"/>
      <c r="K647" s="10"/>
      <c r="L647" s="10"/>
      <c r="M647" s="62">
        <f>+M645</f>
        <v>11409349.110000001</v>
      </c>
      <c r="N647" s="62"/>
      <c r="O647" s="62"/>
      <c r="P647" s="62"/>
      <c r="Q647" s="62"/>
      <c r="R647" s="439"/>
      <c r="S647" s="52"/>
      <c r="T647" s="52"/>
      <c r="V647" s="52">
        <f t="shared" si="82"/>
        <v>1354650.8899999987</v>
      </c>
      <c r="AC647" s="52"/>
      <c r="AD647" s="52"/>
      <c r="AI647" s="52"/>
    </row>
    <row r="648" spans="1:35" ht="12">
      <c r="A648" s="149"/>
      <c r="B648" s="2"/>
      <c r="C648" s="2"/>
      <c r="D648" s="2"/>
      <c r="E648" s="5"/>
      <c r="F648" s="151" t="s">
        <v>57</v>
      </c>
      <c r="G648" s="170" t="s">
        <v>881</v>
      </c>
      <c r="H648" s="10"/>
      <c r="I648" s="10">
        <f>+I645</f>
        <v>420000</v>
      </c>
      <c r="J648" s="10"/>
      <c r="K648" s="10"/>
      <c r="L648" s="10"/>
      <c r="M648" s="62"/>
      <c r="N648" s="62">
        <f>+N645</f>
        <v>310884.29</v>
      </c>
      <c r="O648" s="62"/>
      <c r="P648" s="62"/>
      <c r="Q648" s="62"/>
      <c r="R648" s="439"/>
      <c r="S648" s="52"/>
      <c r="T648" s="52"/>
      <c r="V648" s="52">
        <f t="shared" si="82"/>
        <v>0</v>
      </c>
      <c r="AI648" s="52"/>
    </row>
    <row r="649" spans="1:35" ht="12">
      <c r="A649" s="149"/>
      <c r="B649" s="2"/>
      <c r="C649" s="2"/>
      <c r="D649" s="2"/>
      <c r="E649" s="5"/>
      <c r="F649" s="17" t="s">
        <v>268</v>
      </c>
      <c r="G649" s="20" t="s">
        <v>676</v>
      </c>
      <c r="H649" s="10"/>
      <c r="I649" s="10"/>
      <c r="J649" s="10">
        <f>+J645</f>
        <v>200000</v>
      </c>
      <c r="K649" s="10"/>
      <c r="L649" s="10"/>
      <c r="M649" s="62"/>
      <c r="N649" s="62"/>
      <c r="O649" s="62"/>
      <c r="P649" s="62"/>
      <c r="Q649" s="62"/>
      <c r="R649" s="439"/>
      <c r="S649" s="52"/>
      <c r="T649" s="52"/>
      <c r="V649" s="52">
        <f t="shared" si="82"/>
        <v>0</v>
      </c>
      <c r="AI649" s="52"/>
    </row>
    <row r="650" spans="1:35" ht="12">
      <c r="A650" s="149"/>
      <c r="B650" s="2"/>
      <c r="C650" s="2"/>
      <c r="D650" s="2"/>
      <c r="E650" s="5"/>
      <c r="F650" s="151"/>
      <c r="G650" s="1" t="s">
        <v>714</v>
      </c>
      <c r="H650" s="10"/>
      <c r="I650" s="10"/>
      <c r="J650" s="10"/>
      <c r="K650" s="10"/>
      <c r="L650" s="10">
        <f>+H647+I648+J649</f>
        <v>13384000</v>
      </c>
      <c r="M650" s="62"/>
      <c r="N650" s="62"/>
      <c r="O650" s="62"/>
      <c r="P650" s="62"/>
      <c r="Q650" s="62"/>
      <c r="R650" s="439"/>
      <c r="S650" s="52"/>
      <c r="T650" s="52"/>
      <c r="V650" s="52">
        <f t="shared" si="82"/>
        <v>0</v>
      </c>
      <c r="AI650" s="52"/>
    </row>
    <row r="651" spans="1:35" ht="12">
      <c r="A651" s="149"/>
      <c r="B651" s="2"/>
      <c r="C651" s="2"/>
      <c r="D651" s="2"/>
      <c r="E651" s="5"/>
      <c r="F651" s="151"/>
      <c r="G651" s="1" t="s">
        <v>862</v>
      </c>
      <c r="H651" s="10"/>
      <c r="I651" s="10"/>
      <c r="J651" s="10"/>
      <c r="K651" s="10"/>
      <c r="L651" s="10"/>
      <c r="M651" s="62"/>
      <c r="N651" s="62"/>
      <c r="O651" s="62"/>
      <c r="P651" s="62"/>
      <c r="Q651" s="62"/>
      <c r="R651" s="439"/>
      <c r="S651" s="52"/>
      <c r="T651" s="52"/>
      <c r="V651" s="52">
        <f t="shared" si="82"/>
        <v>0</v>
      </c>
      <c r="AI651" s="52"/>
    </row>
    <row r="652" spans="1:35" ht="12">
      <c r="A652" s="149"/>
      <c r="B652" s="2"/>
      <c r="C652" s="2"/>
      <c r="D652" s="2"/>
      <c r="E652" s="5"/>
      <c r="F652" s="151" t="s">
        <v>73</v>
      </c>
      <c r="G652" s="20" t="s">
        <v>674</v>
      </c>
      <c r="H652" s="10">
        <f>+H647</f>
        <v>12764000</v>
      </c>
      <c r="I652" s="10"/>
      <c r="J652" s="10"/>
      <c r="K652" s="10"/>
      <c r="L652" s="10"/>
      <c r="M652" s="62">
        <f>+M647</f>
        <v>11409349.110000001</v>
      </c>
      <c r="N652" s="62"/>
      <c r="O652" s="62"/>
      <c r="P652" s="62"/>
      <c r="Q652" s="62"/>
      <c r="R652" s="439"/>
      <c r="S652" s="52"/>
      <c r="T652" s="52"/>
      <c r="V652" s="52">
        <f t="shared" si="82"/>
        <v>1354650.8899999987</v>
      </c>
      <c r="AI652" s="52"/>
    </row>
    <row r="653" spans="1:35" ht="12">
      <c r="A653" s="149"/>
      <c r="B653" s="2"/>
      <c r="C653" s="2"/>
      <c r="D653" s="2"/>
      <c r="E653" s="5"/>
      <c r="F653" s="151" t="s">
        <v>57</v>
      </c>
      <c r="G653" s="170" t="s">
        <v>881</v>
      </c>
      <c r="H653" s="10"/>
      <c r="I653" s="10">
        <f>+I648</f>
        <v>420000</v>
      </c>
      <c r="J653" s="10"/>
      <c r="K653" s="10"/>
      <c r="L653" s="10"/>
      <c r="M653" s="62"/>
      <c r="N653" s="62">
        <f>+N648</f>
        <v>310884.29</v>
      </c>
      <c r="O653" s="62"/>
      <c r="P653" s="62"/>
      <c r="Q653" s="62"/>
      <c r="R653" s="439"/>
      <c r="S653" s="52"/>
      <c r="T653" s="52"/>
      <c r="V653" s="52">
        <f t="shared" si="82"/>
        <v>0</v>
      </c>
      <c r="AI653" s="52"/>
    </row>
    <row r="654" spans="1:35" ht="12">
      <c r="A654" s="149"/>
      <c r="B654" s="2"/>
      <c r="C654" s="2"/>
      <c r="D654" s="2"/>
      <c r="E654" s="5"/>
      <c r="F654" s="17" t="s">
        <v>268</v>
      </c>
      <c r="G654" s="20" t="s">
        <v>676</v>
      </c>
      <c r="H654" s="10"/>
      <c r="I654" s="10"/>
      <c r="J654" s="10">
        <f>+J649</f>
        <v>200000</v>
      </c>
      <c r="K654" s="10"/>
      <c r="L654" s="10"/>
      <c r="M654" s="62"/>
      <c r="N654" s="62"/>
      <c r="O654" s="62"/>
      <c r="P654" s="62"/>
      <c r="Q654" s="62"/>
      <c r="R654" s="439"/>
      <c r="S654" s="52"/>
      <c r="T654" s="52"/>
      <c r="V654" s="52">
        <f t="shared" si="82"/>
        <v>0</v>
      </c>
      <c r="AI654" s="52"/>
    </row>
    <row r="655" spans="1:35" ht="12">
      <c r="A655" s="150"/>
      <c r="B655" s="40"/>
      <c r="C655" s="40"/>
      <c r="D655" s="40"/>
      <c r="E655" s="19"/>
      <c r="F655" s="123"/>
      <c r="G655" s="90" t="s">
        <v>816</v>
      </c>
      <c r="H655" s="407"/>
      <c r="I655" s="407"/>
      <c r="J655" s="407"/>
      <c r="K655" s="10"/>
      <c r="L655" s="10">
        <f>+H652+I653+J654</f>
        <v>13384000</v>
      </c>
      <c r="M655" s="53"/>
      <c r="N655" s="53"/>
      <c r="O655" s="53"/>
      <c r="P655" s="53"/>
      <c r="Q655" s="53"/>
      <c r="R655" s="543">
        <f>+N653+M652</f>
        <v>11720233.4</v>
      </c>
      <c r="S655" s="52"/>
      <c r="T655" s="52"/>
      <c r="V655" s="52">
        <f t="shared" si="82"/>
        <v>0</v>
      </c>
      <c r="AI655" s="52"/>
    </row>
    <row r="656" spans="1:35" ht="12">
      <c r="A656" s="88"/>
      <c r="B656" s="88"/>
      <c r="C656" s="88"/>
      <c r="D656" s="85"/>
      <c r="E656" s="82"/>
      <c r="F656" s="153"/>
      <c r="G656" s="82"/>
      <c r="H656" s="399"/>
      <c r="I656" s="399"/>
      <c r="J656" s="399"/>
      <c r="K656" s="399"/>
      <c r="L656" s="399"/>
      <c r="M656" s="86"/>
      <c r="N656" s="86"/>
      <c r="O656" s="86"/>
      <c r="P656" s="86"/>
      <c r="Q656" s="86"/>
      <c r="R656" s="435"/>
      <c r="S656" s="52"/>
      <c r="T656" s="52"/>
      <c r="V656" s="52">
        <f t="shared" si="82"/>
        <v>0</v>
      </c>
      <c r="AI656" s="52"/>
    </row>
    <row r="657" spans="1:35" ht="12">
      <c r="A657" s="80"/>
      <c r="B657" s="80"/>
      <c r="C657" s="80" t="s">
        <v>109</v>
      </c>
      <c r="D657" s="89"/>
      <c r="E657" s="89"/>
      <c r="F657" s="153"/>
      <c r="G657" s="82" t="s">
        <v>912</v>
      </c>
      <c r="H657" s="399"/>
      <c r="I657" s="399"/>
      <c r="J657" s="399"/>
      <c r="K657" s="399"/>
      <c r="L657" s="399"/>
      <c r="M657" s="86"/>
      <c r="N657" s="86"/>
      <c r="O657" s="86"/>
      <c r="P657" s="86"/>
      <c r="Q657" s="86"/>
      <c r="R657" s="435"/>
      <c r="S657" s="52"/>
      <c r="T657" s="52"/>
      <c r="V657" s="52">
        <f t="shared" si="82"/>
        <v>0</v>
      </c>
      <c r="AI657" s="52"/>
    </row>
    <row r="658" spans="1:35" ht="12">
      <c r="A658" s="80"/>
      <c r="B658" s="80"/>
      <c r="C658" s="80"/>
      <c r="D658" s="89">
        <v>911</v>
      </c>
      <c r="F658" s="153"/>
      <c r="G658" s="82" t="s">
        <v>913</v>
      </c>
      <c r="H658" s="399"/>
      <c r="I658" s="399"/>
      <c r="J658" s="399"/>
      <c r="K658" s="399"/>
      <c r="L658" s="399"/>
      <c r="M658" s="86"/>
      <c r="N658" s="86"/>
      <c r="O658" s="86"/>
      <c r="P658" s="86"/>
      <c r="Q658" s="86"/>
      <c r="R658" s="435"/>
      <c r="S658" s="52"/>
      <c r="T658" s="52"/>
      <c r="V658" s="52">
        <f t="shared" si="82"/>
        <v>0</v>
      </c>
      <c r="AI658" s="52"/>
    </row>
    <row r="659" spans="1:35" ht="12">
      <c r="A659" s="80">
        <f>A644+1</f>
        <v>137</v>
      </c>
      <c r="B659" s="80"/>
      <c r="C659" s="80"/>
      <c r="D659" s="80"/>
      <c r="E659" s="85">
        <v>411</v>
      </c>
      <c r="F659" s="112"/>
      <c r="G659" s="83" t="s">
        <v>683</v>
      </c>
      <c r="H659" s="86">
        <f>47104000+T659</f>
        <v>46704000</v>
      </c>
      <c r="I659" s="399">
        <f>16000000*1.02+U659</f>
        <v>15920000</v>
      </c>
      <c r="J659" s="399"/>
      <c r="K659" s="399"/>
      <c r="L659" s="399">
        <f aca="true" t="shared" si="87" ref="L659:L672">+H659+I659+J659+K659</f>
        <v>62624000</v>
      </c>
      <c r="M659" s="86">
        <v>46700000</v>
      </c>
      <c r="N659" s="86">
        <v>15755750.3</v>
      </c>
      <c r="O659" s="86"/>
      <c r="P659" s="86"/>
      <c r="Q659" s="86"/>
      <c r="R659" s="435">
        <f>+M659/H659*100</f>
        <v>99.99143542309011</v>
      </c>
      <c r="S659" s="52"/>
      <c r="T659" s="66">
        <v>-400000</v>
      </c>
      <c r="U659" s="52">
        <f>-200000-200000</f>
        <v>-400000</v>
      </c>
      <c r="V659" s="52">
        <f t="shared" si="82"/>
        <v>4000</v>
      </c>
      <c r="AI659" s="52"/>
    </row>
    <row r="660" spans="1:35" ht="12">
      <c r="A660" s="80">
        <f>A659+1</f>
        <v>138</v>
      </c>
      <c r="B660" s="80"/>
      <c r="C660" s="80"/>
      <c r="D660" s="80"/>
      <c r="E660" s="85">
        <v>412</v>
      </c>
      <c r="F660" s="112"/>
      <c r="G660" s="83" t="s">
        <v>551</v>
      </c>
      <c r="H660" s="86">
        <v>8428000</v>
      </c>
      <c r="I660" s="399">
        <v>2921000</v>
      </c>
      <c r="J660" s="399"/>
      <c r="K660" s="399"/>
      <c r="L660" s="399">
        <f t="shared" si="87"/>
        <v>11349000</v>
      </c>
      <c r="M660" s="86">
        <v>8348350</v>
      </c>
      <c r="N660" s="86">
        <v>2831172</v>
      </c>
      <c r="O660" s="86"/>
      <c r="P660" s="86"/>
      <c r="Q660" s="86"/>
      <c r="R660" s="435">
        <f aca="true" t="shared" si="88" ref="R660:R676">+M660/H660*100</f>
        <v>99.05493592785952</v>
      </c>
      <c r="S660" s="52"/>
      <c r="T660" s="52"/>
      <c r="V660" s="52">
        <f t="shared" si="82"/>
        <v>79650</v>
      </c>
      <c r="AI660" s="52"/>
    </row>
    <row r="661" spans="1:35" ht="12">
      <c r="A661" s="80">
        <f aca="true" t="shared" si="89" ref="A661:A675">A660+1</f>
        <v>139</v>
      </c>
      <c r="B661" s="80"/>
      <c r="C661" s="80"/>
      <c r="D661" s="80"/>
      <c r="E661" s="85">
        <v>413</v>
      </c>
      <c r="F661" s="112"/>
      <c r="G661" s="83" t="s">
        <v>812</v>
      </c>
      <c r="H661" s="399">
        <v>150000</v>
      </c>
      <c r="I661" s="399">
        <v>150000</v>
      </c>
      <c r="J661" s="399"/>
      <c r="K661" s="399"/>
      <c r="L661" s="399">
        <f t="shared" si="87"/>
        <v>300000</v>
      </c>
      <c r="M661" s="86">
        <v>148689</v>
      </c>
      <c r="N661" s="86">
        <v>34299</v>
      </c>
      <c r="O661" s="86"/>
      <c r="P661" s="86"/>
      <c r="Q661" s="86"/>
      <c r="R661" s="435">
        <f t="shared" si="88"/>
        <v>99.126</v>
      </c>
      <c r="S661" s="52"/>
      <c r="T661" s="52"/>
      <c r="V661" s="52">
        <f t="shared" si="82"/>
        <v>1311</v>
      </c>
      <c r="AI661" s="52"/>
    </row>
    <row r="662" spans="1:35" ht="12">
      <c r="A662" s="80">
        <f>A661+1</f>
        <v>140</v>
      </c>
      <c r="B662" s="80"/>
      <c r="C662" s="80"/>
      <c r="D662" s="80"/>
      <c r="E662" s="85">
        <v>414</v>
      </c>
      <c r="F662" s="112"/>
      <c r="G662" s="83" t="s">
        <v>552</v>
      </c>
      <c r="H662" s="399">
        <f>600000+380000+S662</f>
        <v>1247000</v>
      </c>
      <c r="I662" s="399">
        <v>450000</v>
      </c>
      <c r="J662" s="399">
        <v>3000000</v>
      </c>
      <c r="K662" s="399"/>
      <c r="L662" s="399">
        <f t="shared" si="87"/>
        <v>4697000</v>
      </c>
      <c r="M662" s="86">
        <v>1194821</v>
      </c>
      <c r="N662" s="86">
        <v>319224</v>
      </c>
      <c r="O662" s="86"/>
      <c r="P662" s="86"/>
      <c r="Q662" s="86">
        <v>50000</v>
      </c>
      <c r="R662" s="435">
        <f t="shared" si="88"/>
        <v>95.81563753007217</v>
      </c>
      <c r="S662" s="52">
        <v>267000</v>
      </c>
      <c r="T662" s="52"/>
      <c r="V662" s="52">
        <f t="shared" si="82"/>
        <v>2179</v>
      </c>
      <c r="AI662" s="52"/>
    </row>
    <row r="663" spans="1:35" ht="12">
      <c r="A663" s="80">
        <f t="shared" si="89"/>
        <v>141</v>
      </c>
      <c r="B663" s="80"/>
      <c r="C663" s="80"/>
      <c r="D663" s="80"/>
      <c r="E663" s="85">
        <v>415</v>
      </c>
      <c r="F663" s="112"/>
      <c r="G663" s="83" t="s">
        <v>565</v>
      </c>
      <c r="H663" s="399">
        <v>1250000</v>
      </c>
      <c r="I663" s="399">
        <v>600000</v>
      </c>
      <c r="J663" s="399"/>
      <c r="K663" s="399"/>
      <c r="L663" s="399">
        <f t="shared" si="87"/>
        <v>1850000</v>
      </c>
      <c r="M663" s="86">
        <v>1248226</v>
      </c>
      <c r="N663" s="86">
        <v>359656.3</v>
      </c>
      <c r="O663" s="86"/>
      <c r="P663" s="86"/>
      <c r="Q663" s="86"/>
      <c r="R663" s="435">
        <f t="shared" si="88"/>
        <v>99.85808</v>
      </c>
      <c r="S663" s="52"/>
      <c r="T663" s="52"/>
      <c r="V663" s="52">
        <f t="shared" si="82"/>
        <v>1774</v>
      </c>
      <c r="AI663" s="52"/>
    </row>
    <row r="664" spans="1:35" ht="12">
      <c r="A664" s="80">
        <f t="shared" si="89"/>
        <v>142</v>
      </c>
      <c r="B664" s="80"/>
      <c r="C664" s="80"/>
      <c r="D664" s="80"/>
      <c r="E664" s="85">
        <v>416</v>
      </c>
      <c r="F664" s="112"/>
      <c r="G664" s="83" t="s">
        <v>547</v>
      </c>
      <c r="H664" s="399">
        <v>600000</v>
      </c>
      <c r="I664" s="399">
        <v>300000</v>
      </c>
      <c r="J664" s="399"/>
      <c r="K664" s="399"/>
      <c r="L664" s="399">
        <f t="shared" si="87"/>
        <v>900000</v>
      </c>
      <c r="M664" s="86">
        <v>583685.5</v>
      </c>
      <c r="N664" s="86">
        <v>190941.09</v>
      </c>
      <c r="O664" s="86"/>
      <c r="P664" s="86"/>
      <c r="Q664" s="86"/>
      <c r="R664" s="435">
        <f t="shared" si="88"/>
        <v>97.28091666666666</v>
      </c>
      <c r="S664" s="52"/>
      <c r="T664" s="52"/>
      <c r="V664" s="52">
        <f t="shared" si="82"/>
        <v>16314.5</v>
      </c>
      <c r="AI664" s="52"/>
    </row>
    <row r="665" spans="1:35" ht="12">
      <c r="A665" s="80">
        <f t="shared" si="89"/>
        <v>143</v>
      </c>
      <c r="B665" s="80"/>
      <c r="C665" s="80"/>
      <c r="D665" s="80"/>
      <c r="E665" s="85">
        <v>421</v>
      </c>
      <c r="F665" s="112"/>
      <c r="G665" s="83" t="s">
        <v>567</v>
      </c>
      <c r="H665" s="399">
        <f>5500000+100000+T665</f>
        <v>5500000</v>
      </c>
      <c r="I665" s="399">
        <f>1800000+U665</f>
        <v>1600000</v>
      </c>
      <c r="J665" s="399"/>
      <c r="K665" s="399"/>
      <c r="L665" s="399">
        <f t="shared" si="87"/>
        <v>7100000</v>
      </c>
      <c r="M665" s="86">
        <v>4333619.68</v>
      </c>
      <c r="N665" s="86">
        <v>619136.42</v>
      </c>
      <c r="O665" s="86"/>
      <c r="P665" s="86"/>
      <c r="Q665" s="86">
        <v>1159869.35</v>
      </c>
      <c r="R665" s="435">
        <f t="shared" si="88"/>
        <v>78.79308509090909</v>
      </c>
      <c r="S665" s="52"/>
      <c r="T665" s="52">
        <f>-100000</f>
        <v>-100000</v>
      </c>
      <c r="U665" s="66">
        <v>-200000</v>
      </c>
      <c r="V665" s="52">
        <f aca="true" t="shared" si="90" ref="V665:V728">+H665-(M665+Q665)</f>
        <v>6510.970000000671</v>
      </c>
      <c r="AI665" s="52"/>
    </row>
    <row r="666" spans="1:35" ht="12">
      <c r="A666" s="80">
        <f>A665+1</f>
        <v>144</v>
      </c>
      <c r="B666" s="80"/>
      <c r="C666" s="80"/>
      <c r="D666" s="80"/>
      <c r="E666" s="85">
        <v>422</v>
      </c>
      <c r="F666" s="112"/>
      <c r="G666" s="83" t="s">
        <v>569</v>
      </c>
      <c r="H666" s="399">
        <v>40000</v>
      </c>
      <c r="I666" s="399">
        <v>250000</v>
      </c>
      <c r="J666" s="399"/>
      <c r="K666" s="399"/>
      <c r="L666" s="399">
        <f t="shared" si="87"/>
        <v>290000</v>
      </c>
      <c r="M666" s="86">
        <v>0</v>
      </c>
      <c r="N666" s="86">
        <v>111939.94</v>
      </c>
      <c r="O666" s="86"/>
      <c r="P666" s="386"/>
      <c r="Q666" s="386"/>
      <c r="R666" s="435">
        <f t="shared" si="88"/>
        <v>0</v>
      </c>
      <c r="S666" s="52"/>
      <c r="T666" s="52"/>
      <c r="V666" s="52">
        <f t="shared" si="90"/>
        <v>40000</v>
      </c>
      <c r="AI666" s="52"/>
    </row>
    <row r="667" spans="1:35" ht="12">
      <c r="A667" s="80">
        <f t="shared" si="89"/>
        <v>145</v>
      </c>
      <c r="B667" s="80"/>
      <c r="C667" s="80"/>
      <c r="D667" s="80"/>
      <c r="E667" s="85">
        <v>423</v>
      </c>
      <c r="F667" s="112"/>
      <c r="G667" s="83" t="s">
        <v>539</v>
      </c>
      <c r="H667" s="399">
        <f>350000+270000</f>
        <v>620000</v>
      </c>
      <c r="I667" s="399">
        <v>550000</v>
      </c>
      <c r="J667" s="399"/>
      <c r="K667" s="399"/>
      <c r="L667" s="399">
        <f t="shared" si="87"/>
        <v>1170000</v>
      </c>
      <c r="M667" s="86">
        <v>467810</v>
      </c>
      <c r="N667" s="386">
        <v>497092.3</v>
      </c>
      <c r="O667" s="386"/>
      <c r="P667" s="86"/>
      <c r="Q667" s="86">
        <v>46745</v>
      </c>
      <c r="R667" s="435">
        <f t="shared" si="88"/>
        <v>75.45322580645161</v>
      </c>
      <c r="S667" s="52"/>
      <c r="T667" s="52"/>
      <c r="V667" s="52">
        <f t="shared" si="90"/>
        <v>105445</v>
      </c>
      <c r="AI667" s="52"/>
    </row>
    <row r="668" spans="1:35" ht="12">
      <c r="A668" s="80">
        <f t="shared" si="89"/>
        <v>146</v>
      </c>
      <c r="B668" s="80"/>
      <c r="C668" s="80"/>
      <c r="D668" s="80"/>
      <c r="E668" s="85">
        <v>424</v>
      </c>
      <c r="F668" s="112"/>
      <c r="G668" s="83" t="s">
        <v>554</v>
      </c>
      <c r="H668" s="399">
        <v>500000</v>
      </c>
      <c r="I668" s="399">
        <v>350000</v>
      </c>
      <c r="J668" s="399"/>
      <c r="K668" s="399"/>
      <c r="L668" s="399">
        <f t="shared" si="87"/>
        <v>850000</v>
      </c>
      <c r="M668" s="86">
        <v>0</v>
      </c>
      <c r="N668" s="386">
        <v>148564.1</v>
      </c>
      <c r="O668" s="386"/>
      <c r="P668" s="86"/>
      <c r="Q668" s="86">
        <v>497166</v>
      </c>
      <c r="R668" s="435">
        <f t="shared" si="88"/>
        <v>0</v>
      </c>
      <c r="S668" s="52"/>
      <c r="T668" s="52"/>
      <c r="V668" s="52">
        <f t="shared" si="90"/>
        <v>2834</v>
      </c>
      <c r="AI668" s="52"/>
    </row>
    <row r="669" spans="1:35" ht="12">
      <c r="A669" s="80">
        <f>A668+1</f>
        <v>147</v>
      </c>
      <c r="B669" s="80"/>
      <c r="C669" s="80"/>
      <c r="D669" s="80"/>
      <c r="E669" s="85">
        <v>425</v>
      </c>
      <c r="F669" s="112"/>
      <c r="G669" s="83" t="s">
        <v>540</v>
      </c>
      <c r="H669" s="399">
        <f>700000+770000+S669</f>
        <v>1510000</v>
      </c>
      <c r="I669" s="399">
        <f>450000+T669</f>
        <v>650000</v>
      </c>
      <c r="J669" s="399"/>
      <c r="K669" s="399"/>
      <c r="L669" s="399">
        <f t="shared" si="87"/>
        <v>2160000</v>
      </c>
      <c r="M669" s="86">
        <v>1301563.28</v>
      </c>
      <c r="N669" s="55">
        <v>730665.04</v>
      </c>
      <c r="O669" s="86"/>
      <c r="P669" s="86"/>
      <c r="Q669" s="86">
        <v>143010</v>
      </c>
      <c r="R669" s="435">
        <f t="shared" si="88"/>
        <v>86.19624370860927</v>
      </c>
      <c r="S669" s="52">
        <v>40000</v>
      </c>
      <c r="T669" s="52">
        <v>200000</v>
      </c>
      <c r="V669" s="52">
        <f t="shared" si="90"/>
        <v>65426.71999999997</v>
      </c>
      <c r="AI669" s="52"/>
    </row>
    <row r="670" spans="1:35" ht="12">
      <c r="A670" s="80">
        <f t="shared" si="89"/>
        <v>148</v>
      </c>
      <c r="B670" s="80"/>
      <c r="C670" s="80"/>
      <c r="D670" s="80"/>
      <c r="E670" s="85">
        <v>426</v>
      </c>
      <c r="F670" s="112"/>
      <c r="G670" s="83" t="s">
        <v>530</v>
      </c>
      <c r="H670" s="399">
        <f>7000000+S670</f>
        <v>7060000</v>
      </c>
      <c r="I670" s="399">
        <v>1900000</v>
      </c>
      <c r="J670" s="399"/>
      <c r="K670" s="414"/>
      <c r="L670" s="414">
        <f t="shared" si="87"/>
        <v>8960000</v>
      </c>
      <c r="M670" s="86">
        <v>5833958.2</v>
      </c>
      <c r="N670" s="55">
        <v>1275146.19</v>
      </c>
      <c r="O670" s="86"/>
      <c r="P670" s="86"/>
      <c r="Q670" s="86">
        <v>1172781.74</v>
      </c>
      <c r="R670" s="436">
        <f t="shared" si="88"/>
        <v>82.63396883852691</v>
      </c>
      <c r="S670" s="52">
        <v>60000</v>
      </c>
      <c r="T670" s="52"/>
      <c r="V670" s="52">
        <f t="shared" si="90"/>
        <v>53260.05999999959</v>
      </c>
      <c r="AI670" s="52"/>
    </row>
    <row r="671" spans="1:35" ht="12">
      <c r="A671" s="128" t="s">
        <v>432</v>
      </c>
      <c r="B671" s="24"/>
      <c r="C671" s="126"/>
      <c r="D671" s="24"/>
      <c r="E671" s="127">
        <v>465</v>
      </c>
      <c r="F671" s="114"/>
      <c r="G671" s="129" t="s">
        <v>889</v>
      </c>
      <c r="H671" s="414">
        <f>+T671+S671</f>
        <v>401000</v>
      </c>
      <c r="I671" s="415">
        <f>+U671</f>
        <v>200000</v>
      </c>
      <c r="J671" s="416"/>
      <c r="K671" s="416"/>
      <c r="L671" s="414">
        <f t="shared" si="87"/>
        <v>601000</v>
      </c>
      <c r="M671" s="86">
        <v>400000</v>
      </c>
      <c r="N671" s="386">
        <v>150446</v>
      </c>
      <c r="O671" s="86"/>
      <c r="P671" s="86"/>
      <c r="Q671" s="86"/>
      <c r="R671" s="435">
        <f t="shared" si="88"/>
        <v>99.75062344139651</v>
      </c>
      <c r="S671" s="52">
        <v>1000</v>
      </c>
      <c r="T671" s="52">
        <v>400000</v>
      </c>
      <c r="U671" s="66">
        <v>200000</v>
      </c>
      <c r="V671" s="52">
        <f t="shared" si="90"/>
        <v>1000</v>
      </c>
      <c r="AI671" s="52"/>
    </row>
    <row r="672" spans="1:35" ht="12">
      <c r="A672" s="126">
        <f>A670+1</f>
        <v>149</v>
      </c>
      <c r="B672" s="24"/>
      <c r="C672" s="126"/>
      <c r="D672" s="24"/>
      <c r="E672" s="127">
        <v>482</v>
      </c>
      <c r="F672" s="109"/>
      <c r="G672" s="129" t="s">
        <v>541</v>
      </c>
      <c r="H672" s="414">
        <f>+S672</f>
        <v>69088</v>
      </c>
      <c r="I672" s="415">
        <v>200000</v>
      </c>
      <c r="J672" s="416"/>
      <c r="K672" s="416"/>
      <c r="L672" s="414">
        <f t="shared" si="87"/>
        <v>269088</v>
      </c>
      <c r="M672" s="393">
        <v>69088</v>
      </c>
      <c r="N672" s="62">
        <v>59085</v>
      </c>
      <c r="O672" s="393"/>
      <c r="P672" s="434"/>
      <c r="Q672" s="434"/>
      <c r="R672" s="443">
        <f t="shared" si="88"/>
        <v>100</v>
      </c>
      <c r="S672" s="52">
        <v>69088</v>
      </c>
      <c r="T672" s="52"/>
      <c r="V672" s="52">
        <f t="shared" si="90"/>
        <v>0</v>
      </c>
      <c r="AI672" s="52"/>
    </row>
    <row r="673" spans="1:35" ht="12">
      <c r="A673" s="131"/>
      <c r="B673" s="25"/>
      <c r="C673" s="131"/>
      <c r="D673" s="25"/>
      <c r="E673" s="132"/>
      <c r="F673" s="21"/>
      <c r="G673" s="134" t="s">
        <v>604</v>
      </c>
      <c r="H673" s="417"/>
      <c r="I673" s="407"/>
      <c r="J673" s="418"/>
      <c r="K673" s="418"/>
      <c r="L673" s="417"/>
      <c r="M673" s="393"/>
      <c r="N673" s="62"/>
      <c r="O673" s="393"/>
      <c r="P673" s="434"/>
      <c r="Q673" s="434"/>
      <c r="R673" s="437"/>
      <c r="S673" s="52"/>
      <c r="T673" s="52"/>
      <c r="V673" s="52">
        <f t="shared" si="90"/>
        <v>0</v>
      </c>
      <c r="AI673" s="52"/>
    </row>
    <row r="674" spans="1:35" ht="12">
      <c r="A674" s="80">
        <f>A672+1</f>
        <v>150</v>
      </c>
      <c r="B674" s="80"/>
      <c r="C674" s="80"/>
      <c r="D674" s="80"/>
      <c r="E674" s="85">
        <v>511</v>
      </c>
      <c r="F674" s="112"/>
      <c r="G674" s="83" t="s">
        <v>534</v>
      </c>
      <c r="H674" s="399">
        <f>2051016+1300000</f>
        <v>3351016</v>
      </c>
      <c r="I674" s="399">
        <f>100000+T674</f>
        <v>300000</v>
      </c>
      <c r="J674" s="399"/>
      <c r="K674" s="417"/>
      <c r="L674" s="386">
        <f>+H674+I674+J674+K674</f>
        <v>3651016</v>
      </c>
      <c r="M674" s="86">
        <f>1403475+1862872.8</f>
        <v>3266347.8</v>
      </c>
      <c r="N674" s="55">
        <v>200000</v>
      </c>
      <c r="O674" s="86"/>
      <c r="P674" s="86"/>
      <c r="Q674" s="86"/>
      <c r="R674" s="435">
        <f t="shared" si="88"/>
        <v>97.47335733401451</v>
      </c>
      <c r="S674" s="52"/>
      <c r="T674" s="52">
        <v>200000</v>
      </c>
      <c r="V674" s="52">
        <f t="shared" si="90"/>
        <v>84668.20000000019</v>
      </c>
      <c r="AI674" s="52"/>
    </row>
    <row r="675" spans="1:35" ht="12">
      <c r="A675" s="80">
        <f t="shared" si="89"/>
        <v>151</v>
      </c>
      <c r="B675" s="80"/>
      <c r="C675" s="80"/>
      <c r="D675" s="80"/>
      <c r="E675" s="85">
        <v>512</v>
      </c>
      <c r="F675" s="112"/>
      <c r="G675" s="83" t="s">
        <v>572</v>
      </c>
      <c r="H675" s="399">
        <f>2300000+S675+T675</f>
        <v>2672201</v>
      </c>
      <c r="I675" s="399">
        <v>200000</v>
      </c>
      <c r="J675" s="399"/>
      <c r="K675" s="399"/>
      <c r="L675" s="386">
        <f>+H675+I675+J675+K675</f>
        <v>2872201</v>
      </c>
      <c r="M675" s="86">
        <f>3743049.8-1862872.8</f>
        <v>1880176.9999999998</v>
      </c>
      <c r="N675" s="55">
        <v>267122.29</v>
      </c>
      <c r="O675" s="86"/>
      <c r="P675" s="86"/>
      <c r="Q675" s="86">
        <v>354000</v>
      </c>
      <c r="R675" s="435">
        <f t="shared" si="88"/>
        <v>70.36061284312069</v>
      </c>
      <c r="S675" s="52">
        <v>272201</v>
      </c>
      <c r="T675" s="52">
        <v>100000</v>
      </c>
      <c r="V675" s="52">
        <f t="shared" si="90"/>
        <v>438024</v>
      </c>
      <c r="AI675" s="52"/>
    </row>
    <row r="676" spans="1:35" ht="12">
      <c r="A676" s="12"/>
      <c r="B676" s="12"/>
      <c r="C676" s="12"/>
      <c r="D676" s="12"/>
      <c r="E676" s="3"/>
      <c r="F676" s="103"/>
      <c r="G676" s="3" t="s">
        <v>817</v>
      </c>
      <c r="H676" s="91">
        <f aca="true" t="shared" si="91" ref="H676:N676">SUM(H659:H675)</f>
        <v>80102305</v>
      </c>
      <c r="I676" s="91">
        <f t="shared" si="91"/>
        <v>26541000</v>
      </c>
      <c r="J676" s="91">
        <f t="shared" si="91"/>
        <v>3000000</v>
      </c>
      <c r="K676" s="91">
        <f t="shared" si="91"/>
        <v>0</v>
      </c>
      <c r="L676" s="91">
        <f>SUM(L659:L675)</f>
        <v>109643305</v>
      </c>
      <c r="M676" s="508">
        <f t="shared" si="91"/>
        <v>75776335.46</v>
      </c>
      <c r="N676" s="508">
        <f t="shared" si="91"/>
        <v>23550239.970000006</v>
      </c>
      <c r="O676" s="387"/>
      <c r="P676" s="130"/>
      <c r="Q676" s="130">
        <f>SUM(Q659:Q675)</f>
        <v>3423572.09</v>
      </c>
      <c r="R676" s="435">
        <f t="shared" si="88"/>
        <v>94.59944437304269</v>
      </c>
      <c r="S676" s="52"/>
      <c r="T676" s="52"/>
      <c r="V676" s="52">
        <f t="shared" si="90"/>
        <v>902397.450000003</v>
      </c>
      <c r="AB676" s="52"/>
      <c r="AI676" s="52"/>
    </row>
    <row r="677" spans="1:35" ht="12">
      <c r="A677" s="148"/>
      <c r="B677" s="13"/>
      <c r="C677" s="13"/>
      <c r="D677" s="13"/>
      <c r="E677" s="15"/>
      <c r="F677" s="105"/>
      <c r="G677" s="39" t="s">
        <v>890</v>
      </c>
      <c r="H677" s="415"/>
      <c r="I677" s="415"/>
      <c r="J677" s="415"/>
      <c r="K677" s="415"/>
      <c r="L677" s="415"/>
      <c r="M677" s="61"/>
      <c r="N677" s="61"/>
      <c r="O677" s="61"/>
      <c r="P677" s="61"/>
      <c r="Q677" s="61"/>
      <c r="R677" s="438"/>
      <c r="S677" s="52"/>
      <c r="T677" s="52"/>
      <c r="V677" s="52">
        <f t="shared" si="90"/>
        <v>0</v>
      </c>
      <c r="AI677" s="52"/>
    </row>
    <row r="678" spans="1:35" ht="12">
      <c r="A678" s="149"/>
      <c r="B678" s="2"/>
      <c r="C678" s="2"/>
      <c r="D678" s="2"/>
      <c r="E678" s="5"/>
      <c r="F678" s="151" t="s">
        <v>73</v>
      </c>
      <c r="G678" s="20" t="s">
        <v>674</v>
      </c>
      <c r="H678" s="10">
        <f>+H676</f>
        <v>80102305</v>
      </c>
      <c r="I678" s="10"/>
      <c r="J678" s="10"/>
      <c r="K678" s="10"/>
      <c r="L678" s="10"/>
      <c r="M678" s="62">
        <f>+M676</f>
        <v>75776335.46</v>
      </c>
      <c r="N678" s="62"/>
      <c r="O678" s="62"/>
      <c r="P678" s="62"/>
      <c r="Q678" s="62"/>
      <c r="R678" s="439"/>
      <c r="S678" s="52"/>
      <c r="T678" s="52"/>
      <c r="V678" s="52">
        <f t="shared" si="90"/>
        <v>4325969.540000007</v>
      </c>
      <c r="AC678" s="52"/>
      <c r="AD678" s="52"/>
      <c r="AI678" s="52"/>
    </row>
    <row r="679" spans="1:35" ht="12">
      <c r="A679" s="149"/>
      <c r="B679" s="2"/>
      <c r="C679" s="2"/>
      <c r="D679" s="2"/>
      <c r="E679" s="5"/>
      <c r="F679" s="151" t="s">
        <v>57</v>
      </c>
      <c r="G679" s="170" t="s">
        <v>881</v>
      </c>
      <c r="H679" s="10"/>
      <c r="I679" s="10">
        <f>+I676</f>
        <v>26541000</v>
      </c>
      <c r="J679" s="10"/>
      <c r="K679" s="10"/>
      <c r="L679" s="10"/>
      <c r="M679" s="62"/>
      <c r="N679" s="62">
        <f>+N676</f>
        <v>23550239.970000006</v>
      </c>
      <c r="O679" s="62"/>
      <c r="P679" s="62"/>
      <c r="Q679" s="62"/>
      <c r="R679" s="439"/>
      <c r="S679" s="52"/>
      <c r="T679" s="52"/>
      <c r="V679" s="52">
        <f t="shared" si="90"/>
        <v>0</v>
      </c>
      <c r="AI679" s="52"/>
    </row>
    <row r="680" spans="1:35" ht="12">
      <c r="A680" s="149"/>
      <c r="B680" s="2"/>
      <c r="C680" s="2"/>
      <c r="D680" s="2"/>
      <c r="E680" s="5"/>
      <c r="F680" s="17" t="s">
        <v>268</v>
      </c>
      <c r="G680" s="20" t="s">
        <v>676</v>
      </c>
      <c r="H680" s="10"/>
      <c r="I680" s="10"/>
      <c r="J680" s="10">
        <f>+J676</f>
        <v>3000000</v>
      </c>
      <c r="K680" s="10"/>
      <c r="L680" s="10"/>
      <c r="M680" s="62"/>
      <c r="N680" s="62"/>
      <c r="O680" s="62"/>
      <c r="P680" s="62"/>
      <c r="Q680" s="62"/>
      <c r="R680" s="439"/>
      <c r="S680" s="52"/>
      <c r="T680" s="52"/>
      <c r="V680" s="52">
        <f t="shared" si="90"/>
        <v>0</v>
      </c>
      <c r="AI680" s="52"/>
    </row>
    <row r="681" spans="1:35" ht="12">
      <c r="A681" s="149"/>
      <c r="B681" s="2"/>
      <c r="C681" s="2"/>
      <c r="D681" s="2"/>
      <c r="E681" s="5"/>
      <c r="F681" s="151"/>
      <c r="G681" s="1" t="s">
        <v>891</v>
      </c>
      <c r="H681" s="10"/>
      <c r="I681" s="10"/>
      <c r="J681" s="10"/>
      <c r="K681" s="10"/>
      <c r="L681" s="10">
        <f>+H678+I679+J680</f>
        <v>109643305</v>
      </c>
      <c r="M681" s="62"/>
      <c r="N681" s="62"/>
      <c r="O681" s="62"/>
      <c r="P681" s="62"/>
      <c r="Q681" s="62"/>
      <c r="R681" s="439"/>
      <c r="S681" s="52"/>
      <c r="T681" s="52"/>
      <c r="V681" s="52">
        <f t="shared" si="90"/>
        <v>0</v>
      </c>
      <c r="AI681" s="52"/>
    </row>
    <row r="682" spans="1:35" ht="12">
      <c r="A682" s="149"/>
      <c r="B682" s="2"/>
      <c r="C682" s="2"/>
      <c r="D682" s="2"/>
      <c r="E682" s="5"/>
      <c r="F682" s="151"/>
      <c r="G682" s="1" t="s">
        <v>863</v>
      </c>
      <c r="H682" s="10"/>
      <c r="I682" s="10"/>
      <c r="J682" s="10"/>
      <c r="K682" s="10"/>
      <c r="L682" s="10"/>
      <c r="M682" s="62"/>
      <c r="N682" s="62"/>
      <c r="O682" s="62"/>
      <c r="P682" s="62"/>
      <c r="Q682" s="62"/>
      <c r="R682" s="439"/>
      <c r="S682" s="52"/>
      <c r="T682" s="52"/>
      <c r="V682" s="52">
        <f t="shared" si="90"/>
        <v>0</v>
      </c>
      <c r="AI682" s="52"/>
    </row>
    <row r="683" spans="1:35" ht="12">
      <c r="A683" s="149"/>
      <c r="B683" s="2"/>
      <c r="C683" s="2"/>
      <c r="D683" s="2"/>
      <c r="E683" s="5"/>
      <c r="F683" s="151" t="s">
        <v>73</v>
      </c>
      <c r="G683" s="20" t="s">
        <v>674</v>
      </c>
      <c r="H683" s="10">
        <f>+H678</f>
        <v>80102305</v>
      </c>
      <c r="I683" s="10"/>
      <c r="J683" s="10"/>
      <c r="K683" s="10"/>
      <c r="L683" s="10"/>
      <c r="M683" s="62">
        <f>+M678</f>
        <v>75776335.46</v>
      </c>
      <c r="N683" s="62"/>
      <c r="O683" s="62"/>
      <c r="P683" s="62"/>
      <c r="Q683" s="62"/>
      <c r="R683" s="439"/>
      <c r="S683" s="52"/>
      <c r="T683" s="52"/>
      <c r="V683" s="52">
        <f t="shared" si="90"/>
        <v>4325969.540000007</v>
      </c>
      <c r="AI683" s="52"/>
    </row>
    <row r="684" spans="1:35" ht="12">
      <c r="A684" s="149"/>
      <c r="B684" s="2"/>
      <c r="C684" s="2"/>
      <c r="D684" s="2"/>
      <c r="E684" s="5"/>
      <c r="F684" s="151" t="s">
        <v>57</v>
      </c>
      <c r="G684" s="170" t="s">
        <v>881</v>
      </c>
      <c r="H684" s="10"/>
      <c r="I684" s="10">
        <f>+I679</f>
        <v>26541000</v>
      </c>
      <c r="J684" s="10"/>
      <c r="K684" s="10"/>
      <c r="L684" s="10"/>
      <c r="M684" s="62"/>
      <c r="N684" s="62">
        <f>+N679</f>
        <v>23550239.970000006</v>
      </c>
      <c r="O684" s="62"/>
      <c r="P684" s="62"/>
      <c r="Q684" s="62"/>
      <c r="R684" s="439"/>
      <c r="S684" s="52"/>
      <c r="T684" s="52"/>
      <c r="V684" s="52">
        <f t="shared" si="90"/>
        <v>0</v>
      </c>
      <c r="AI684" s="52"/>
    </row>
    <row r="685" spans="1:35" ht="12">
      <c r="A685" s="149"/>
      <c r="B685" s="2"/>
      <c r="C685" s="2"/>
      <c r="D685" s="2"/>
      <c r="E685" s="5"/>
      <c r="F685" s="17" t="s">
        <v>268</v>
      </c>
      <c r="G685" s="20" t="s">
        <v>676</v>
      </c>
      <c r="H685" s="10"/>
      <c r="I685" s="10"/>
      <c r="J685" s="10">
        <f>+J680</f>
        <v>3000000</v>
      </c>
      <c r="K685" s="10"/>
      <c r="L685" s="10"/>
      <c r="M685" s="62"/>
      <c r="N685" s="62"/>
      <c r="O685" s="62"/>
      <c r="P685" s="62"/>
      <c r="Q685" s="62"/>
      <c r="R685" s="439"/>
      <c r="S685" s="52"/>
      <c r="T685" s="52"/>
      <c r="V685" s="52">
        <f t="shared" si="90"/>
        <v>0</v>
      </c>
      <c r="AI685" s="52"/>
    </row>
    <row r="686" spans="1:35" ht="12">
      <c r="A686" s="150"/>
      <c r="B686" s="40"/>
      <c r="C686" s="40"/>
      <c r="D686" s="40"/>
      <c r="E686" s="19"/>
      <c r="F686" s="123"/>
      <c r="G686" s="90" t="s">
        <v>818</v>
      </c>
      <c r="H686" s="407"/>
      <c r="I686" s="407"/>
      <c r="J686" s="407"/>
      <c r="K686" s="10"/>
      <c r="L686" s="10">
        <f>+H683+I684+J685</f>
        <v>109643305</v>
      </c>
      <c r="M686" s="53"/>
      <c r="N686" s="53"/>
      <c r="O686" s="53"/>
      <c r="P686" s="53"/>
      <c r="Q686" s="53"/>
      <c r="R686" s="543">
        <f>+N684+M683</f>
        <v>99326575.43</v>
      </c>
      <c r="S686" s="52"/>
      <c r="T686" s="52"/>
      <c r="V686" s="52">
        <f t="shared" si="90"/>
        <v>0</v>
      </c>
      <c r="AI686" s="52"/>
    </row>
    <row r="687" spans="1:35" ht="12">
      <c r="A687" s="81"/>
      <c r="B687" s="81"/>
      <c r="C687" s="81"/>
      <c r="D687" s="85"/>
      <c r="E687" s="81"/>
      <c r="F687" s="111"/>
      <c r="G687" s="81"/>
      <c r="H687" s="81"/>
      <c r="I687" s="81"/>
      <c r="J687" s="399"/>
      <c r="K687" s="399"/>
      <c r="L687" s="399"/>
      <c r="M687" s="86"/>
      <c r="N687" s="86"/>
      <c r="O687" s="86"/>
      <c r="P687" s="86"/>
      <c r="Q687" s="86"/>
      <c r="R687" s="435"/>
      <c r="S687" s="52"/>
      <c r="T687" s="52"/>
      <c r="V687" s="52">
        <f t="shared" si="90"/>
        <v>0</v>
      </c>
      <c r="AI687" s="52"/>
    </row>
    <row r="688" spans="1:35" ht="12">
      <c r="A688" s="80"/>
      <c r="B688" s="80"/>
      <c r="C688" s="80" t="s">
        <v>110</v>
      </c>
      <c r="D688" s="88"/>
      <c r="E688" s="88"/>
      <c r="F688" s="153"/>
      <c r="G688" s="82" t="s">
        <v>907</v>
      </c>
      <c r="H688" s="399"/>
      <c r="I688" s="399"/>
      <c r="J688" s="399"/>
      <c r="K688" s="399"/>
      <c r="L688" s="399"/>
      <c r="M688" s="86"/>
      <c r="N688" s="86"/>
      <c r="O688" s="86"/>
      <c r="P688" s="86"/>
      <c r="Q688" s="86"/>
      <c r="R688" s="435"/>
      <c r="S688" s="52"/>
      <c r="T688" s="52"/>
      <c r="V688" s="52">
        <f t="shared" si="90"/>
        <v>0</v>
      </c>
      <c r="AI688" s="52"/>
    </row>
    <row r="689" spans="1:35" ht="12">
      <c r="A689" s="80"/>
      <c r="B689" s="80"/>
      <c r="C689" s="80"/>
      <c r="D689" s="89">
        <v>473</v>
      </c>
      <c r="F689" s="153"/>
      <c r="G689" s="82" t="s">
        <v>819</v>
      </c>
      <c r="H689" s="399"/>
      <c r="I689" s="399"/>
      <c r="J689" s="399"/>
      <c r="K689" s="399"/>
      <c r="L689" s="399"/>
      <c r="M689" s="86"/>
      <c r="N689" s="86"/>
      <c r="O689" s="86"/>
      <c r="P689" s="86"/>
      <c r="Q689" s="86"/>
      <c r="R689" s="435"/>
      <c r="S689" s="52"/>
      <c r="T689" s="52"/>
      <c r="V689" s="52">
        <f t="shared" si="90"/>
        <v>0</v>
      </c>
      <c r="AI689" s="52"/>
    </row>
    <row r="690" spans="1:35" ht="12">
      <c r="A690" s="80">
        <f>A675+1</f>
        <v>152</v>
      </c>
      <c r="B690" s="80"/>
      <c r="C690" s="80"/>
      <c r="D690" s="80"/>
      <c r="E690" s="85">
        <v>411</v>
      </c>
      <c r="F690" s="112"/>
      <c r="G690" s="83" t="s">
        <v>683</v>
      </c>
      <c r="H690" s="86">
        <f>6155000+T690</f>
        <v>6095000</v>
      </c>
      <c r="I690" s="399">
        <f>3691000+U690</f>
        <v>3691000</v>
      </c>
      <c r="J690" s="399"/>
      <c r="K690" s="399"/>
      <c r="L690" s="386">
        <f aca="true" t="shared" si="92" ref="L690:L701">+H690+I690+J690+K690</f>
        <v>9786000</v>
      </c>
      <c r="M690" s="86">
        <v>6082406</v>
      </c>
      <c r="N690" s="86">
        <v>1055834</v>
      </c>
      <c r="O690" s="86"/>
      <c r="P690" s="86"/>
      <c r="Q690" s="86"/>
      <c r="R690" s="435">
        <f>+M690/H690*100</f>
        <v>99.79337161607876</v>
      </c>
      <c r="S690" s="52"/>
      <c r="T690" s="52">
        <v>-60000</v>
      </c>
      <c r="V690" s="52">
        <f t="shared" si="90"/>
        <v>12594</v>
      </c>
      <c r="AI690" s="52"/>
    </row>
    <row r="691" spans="1:35" ht="12">
      <c r="A691" s="80">
        <f>A690+1</f>
        <v>153</v>
      </c>
      <c r="B691" s="80"/>
      <c r="C691" s="80"/>
      <c r="D691" s="80"/>
      <c r="E691" s="85">
        <v>412</v>
      </c>
      <c r="F691" s="112"/>
      <c r="G691" s="83" t="s">
        <v>551</v>
      </c>
      <c r="H691" s="86">
        <f>1106000+T691</f>
        <v>1096000</v>
      </c>
      <c r="I691" s="399">
        <f>657000+U691</f>
        <v>657000</v>
      </c>
      <c r="J691" s="399"/>
      <c r="K691" s="399"/>
      <c r="L691" s="386">
        <f t="shared" si="92"/>
        <v>1753000</v>
      </c>
      <c r="M691" s="86">
        <v>1088752</v>
      </c>
      <c r="N691" s="86">
        <f>126699+54376+7918</f>
        <v>188993</v>
      </c>
      <c r="O691" s="86"/>
      <c r="P691" s="86"/>
      <c r="Q691" s="86"/>
      <c r="R691" s="435">
        <f aca="true" t="shared" si="93" ref="R691:R701">+M691/H691*100</f>
        <v>99.33868613138686</v>
      </c>
      <c r="S691" s="52"/>
      <c r="T691" s="52">
        <v>-10000</v>
      </c>
      <c r="V691" s="52">
        <f t="shared" si="90"/>
        <v>7248</v>
      </c>
      <c r="AI691" s="52"/>
    </row>
    <row r="692" spans="1:35" ht="12">
      <c r="A692" s="80">
        <f>A691+1</f>
        <v>154</v>
      </c>
      <c r="B692" s="80"/>
      <c r="C692" s="80"/>
      <c r="D692" s="80"/>
      <c r="E692" s="85">
        <v>414</v>
      </c>
      <c r="F692" s="112"/>
      <c r="G692" s="83" t="s">
        <v>552</v>
      </c>
      <c r="H692" s="399">
        <f>10000+T692</f>
        <v>120000</v>
      </c>
      <c r="I692" s="399">
        <v>20000</v>
      </c>
      <c r="J692" s="399">
        <v>300000</v>
      </c>
      <c r="K692" s="399"/>
      <c r="L692" s="386">
        <f t="shared" si="92"/>
        <v>440000</v>
      </c>
      <c r="M692" s="86">
        <v>120000</v>
      </c>
      <c r="N692" s="86">
        <v>4876</v>
      </c>
      <c r="O692" s="86"/>
      <c r="P692" s="86"/>
      <c r="Q692" s="86"/>
      <c r="R692" s="435">
        <f t="shared" si="93"/>
        <v>100</v>
      </c>
      <c r="S692" s="52"/>
      <c r="T692" s="52">
        <v>110000</v>
      </c>
      <c r="V692" s="52">
        <f t="shared" si="90"/>
        <v>0</v>
      </c>
      <c r="AI692" s="52"/>
    </row>
    <row r="693" spans="1:35" ht="12">
      <c r="A693" s="80">
        <f aca="true" t="shared" si="94" ref="A693:A700">A692+1</f>
        <v>155</v>
      </c>
      <c r="B693" s="80"/>
      <c r="C693" s="80"/>
      <c r="D693" s="80"/>
      <c r="E693" s="85">
        <v>415</v>
      </c>
      <c r="F693" s="112"/>
      <c r="G693" s="83" t="s">
        <v>565</v>
      </c>
      <c r="H693" s="399">
        <f>90000+T693</f>
        <v>98000</v>
      </c>
      <c r="I693" s="399">
        <v>20000</v>
      </c>
      <c r="J693" s="399"/>
      <c r="K693" s="399"/>
      <c r="L693" s="386">
        <f t="shared" si="92"/>
        <v>118000</v>
      </c>
      <c r="M693" s="86">
        <v>97996</v>
      </c>
      <c r="N693" s="86"/>
      <c r="O693" s="86"/>
      <c r="P693" s="86"/>
      <c r="Q693" s="86"/>
      <c r="R693" s="435">
        <f t="shared" si="93"/>
        <v>99.99591836734693</v>
      </c>
      <c r="S693" s="52"/>
      <c r="T693" s="52">
        <v>8000</v>
      </c>
      <c r="V693" s="52">
        <f t="shared" si="90"/>
        <v>4</v>
      </c>
      <c r="AI693" s="52"/>
    </row>
    <row r="694" spans="1:35" ht="12">
      <c r="A694" s="80">
        <f t="shared" si="94"/>
        <v>156</v>
      </c>
      <c r="B694" s="80"/>
      <c r="C694" s="80"/>
      <c r="D694" s="80"/>
      <c r="E694" s="85">
        <v>416</v>
      </c>
      <c r="F694" s="112"/>
      <c r="G694" s="83" t="s">
        <v>547</v>
      </c>
      <c r="H694" s="399">
        <f>120000+T694</f>
        <v>115000</v>
      </c>
      <c r="I694" s="399">
        <v>20000</v>
      </c>
      <c r="J694" s="399"/>
      <c r="K694" s="399"/>
      <c r="L694" s="386">
        <f t="shared" si="92"/>
        <v>135000</v>
      </c>
      <c r="M694" s="86">
        <v>114914</v>
      </c>
      <c r="N694" s="86">
        <v>20000</v>
      </c>
      <c r="O694" s="86"/>
      <c r="P694" s="86"/>
      <c r="Q694" s="86"/>
      <c r="R694" s="435">
        <f t="shared" si="93"/>
        <v>99.92521739130434</v>
      </c>
      <c r="S694" s="52"/>
      <c r="T694" s="52">
        <v>-5000</v>
      </c>
      <c r="V694" s="52">
        <f t="shared" si="90"/>
        <v>86</v>
      </c>
      <c r="AI694" s="52"/>
    </row>
    <row r="695" spans="1:35" ht="12">
      <c r="A695" s="80">
        <f>A694+1</f>
        <v>157</v>
      </c>
      <c r="B695" s="80"/>
      <c r="C695" s="80"/>
      <c r="D695" s="80"/>
      <c r="E695" s="85">
        <v>421</v>
      </c>
      <c r="F695" s="112"/>
      <c r="G695" s="83" t="s">
        <v>567</v>
      </c>
      <c r="H695" s="399">
        <f>1450000+T695</f>
        <v>1385000</v>
      </c>
      <c r="I695" s="399">
        <f>1300000+U695</f>
        <v>1290000</v>
      </c>
      <c r="J695" s="399"/>
      <c r="K695" s="399"/>
      <c r="L695" s="386">
        <f t="shared" si="92"/>
        <v>2675000</v>
      </c>
      <c r="M695" s="86">
        <v>1227150.49</v>
      </c>
      <c r="N695" s="86">
        <v>242757.04</v>
      </c>
      <c r="O695" s="86"/>
      <c r="P695" s="86"/>
      <c r="Q695" s="86">
        <v>85923.52</v>
      </c>
      <c r="R695" s="435">
        <f t="shared" si="93"/>
        <v>88.60292346570398</v>
      </c>
      <c r="S695" s="52"/>
      <c r="T695" s="52">
        <v>-65000</v>
      </c>
      <c r="U695" s="66">
        <v>-10000</v>
      </c>
      <c r="V695" s="52">
        <f t="shared" si="90"/>
        <v>71925.98999999999</v>
      </c>
      <c r="AI695" s="52"/>
    </row>
    <row r="696" spans="1:35" ht="12">
      <c r="A696" s="80">
        <f t="shared" si="94"/>
        <v>158</v>
      </c>
      <c r="B696" s="80"/>
      <c r="C696" s="80"/>
      <c r="D696" s="80"/>
      <c r="E696" s="85">
        <v>422</v>
      </c>
      <c r="F696" s="112"/>
      <c r="G696" s="83" t="s">
        <v>569</v>
      </c>
      <c r="H696" s="399">
        <f>350000+S696</f>
        <v>400000</v>
      </c>
      <c r="I696" s="399">
        <v>100000</v>
      </c>
      <c r="J696" s="399"/>
      <c r="K696" s="399"/>
      <c r="L696" s="386">
        <f t="shared" si="92"/>
        <v>500000</v>
      </c>
      <c r="M696" s="86">
        <v>338963</v>
      </c>
      <c r="N696" s="86">
        <v>100841</v>
      </c>
      <c r="O696" s="86"/>
      <c r="P696" s="386"/>
      <c r="Q696" s="86">
        <v>60072</v>
      </c>
      <c r="R696" s="435">
        <f t="shared" si="93"/>
        <v>84.74074999999999</v>
      </c>
      <c r="S696" s="52">
        <v>50000</v>
      </c>
      <c r="T696" s="52"/>
      <c r="V696" s="52">
        <f t="shared" si="90"/>
        <v>965</v>
      </c>
      <c r="AI696" s="52"/>
    </row>
    <row r="697" spans="1:35" ht="12">
      <c r="A697" s="80">
        <f t="shared" si="94"/>
        <v>159</v>
      </c>
      <c r="B697" s="80"/>
      <c r="C697" s="80"/>
      <c r="D697" s="80"/>
      <c r="E697" s="85">
        <v>423</v>
      </c>
      <c r="F697" s="112"/>
      <c r="G697" s="83" t="s">
        <v>539</v>
      </c>
      <c r="H697" s="399">
        <f>1400000+T697+S697</f>
        <v>1922000</v>
      </c>
      <c r="I697" s="399">
        <v>2400000</v>
      </c>
      <c r="J697" s="399"/>
      <c r="K697" s="399"/>
      <c r="L697" s="386">
        <f t="shared" si="92"/>
        <v>4322000</v>
      </c>
      <c r="M697" s="386">
        <v>1480504</v>
      </c>
      <c r="N697" s="386">
        <v>1052515</v>
      </c>
      <c r="O697" s="86"/>
      <c r="P697" s="55"/>
      <c r="Q697" s="86">
        <v>400000</v>
      </c>
      <c r="R697" s="435">
        <f t="shared" si="93"/>
        <v>77.02934443288243</v>
      </c>
      <c r="S697" s="52">
        <v>30000</v>
      </c>
      <c r="T697" s="52">
        <f>500000-8000</f>
        <v>492000</v>
      </c>
      <c r="V697" s="52">
        <f t="shared" si="90"/>
        <v>41496</v>
      </c>
      <c r="AI697" s="52"/>
    </row>
    <row r="698" spans="1:35" ht="12">
      <c r="A698" s="80">
        <f t="shared" si="94"/>
        <v>160</v>
      </c>
      <c r="B698" s="80"/>
      <c r="C698" s="80"/>
      <c r="D698" s="80"/>
      <c r="E698" s="85">
        <v>424</v>
      </c>
      <c r="F698" s="112"/>
      <c r="G698" s="83" t="s">
        <v>554</v>
      </c>
      <c r="H698" s="399">
        <f>20800000+2380000+S698+T698</f>
        <v>24330000</v>
      </c>
      <c r="I698" s="399">
        <v>4500000</v>
      </c>
      <c r="J698" s="399">
        <v>300000</v>
      </c>
      <c r="K698" s="399"/>
      <c r="L698" s="386">
        <f t="shared" si="92"/>
        <v>29130000</v>
      </c>
      <c r="M698" s="386">
        <v>20818422.04</v>
      </c>
      <c r="N698" s="386">
        <v>2639490</v>
      </c>
      <c r="O698" s="86">
        <v>300000</v>
      </c>
      <c r="P698" s="55"/>
      <c r="Q698" s="86">
        <v>1545891.67</v>
      </c>
      <c r="R698" s="435">
        <f t="shared" si="93"/>
        <v>85.56688055898067</v>
      </c>
      <c r="S698" s="52">
        <f>130000+550000+300000+290000+380000+380000-380000</f>
        <v>1650000</v>
      </c>
      <c r="T698" s="52">
        <v>-500000</v>
      </c>
      <c r="V698" s="52">
        <f t="shared" si="90"/>
        <v>1965686.289999999</v>
      </c>
      <c r="AI698" s="52"/>
    </row>
    <row r="699" spans="1:35" ht="12">
      <c r="A699" s="80">
        <f>A698+1</f>
        <v>161</v>
      </c>
      <c r="B699" s="80"/>
      <c r="C699" s="80"/>
      <c r="D699" s="80"/>
      <c r="E699" s="85">
        <v>425</v>
      </c>
      <c r="F699" s="112"/>
      <c r="G699" s="83" t="s">
        <v>540</v>
      </c>
      <c r="H699" s="399">
        <f>300000+T699</f>
        <v>285000</v>
      </c>
      <c r="I699" s="399">
        <v>100000</v>
      </c>
      <c r="J699" s="399"/>
      <c r="K699" s="399"/>
      <c r="L699" s="386">
        <f t="shared" si="92"/>
        <v>385000</v>
      </c>
      <c r="M699" s="386">
        <v>240695</v>
      </c>
      <c r="N699" s="386">
        <v>19059</v>
      </c>
      <c r="O699" s="86"/>
      <c r="P699" s="55"/>
      <c r="Q699" s="86">
        <v>15654</v>
      </c>
      <c r="R699" s="435">
        <f t="shared" si="93"/>
        <v>84.45438596491228</v>
      </c>
      <c r="S699" s="52"/>
      <c r="T699" s="52">
        <v>-15000</v>
      </c>
      <c r="V699" s="52">
        <f t="shared" si="90"/>
        <v>28651</v>
      </c>
      <c r="AI699" s="52"/>
    </row>
    <row r="700" spans="1:35" ht="12">
      <c r="A700" s="80">
        <f t="shared" si="94"/>
        <v>162</v>
      </c>
      <c r="B700" s="80"/>
      <c r="C700" s="80"/>
      <c r="D700" s="80"/>
      <c r="E700" s="85">
        <v>426</v>
      </c>
      <c r="F700" s="112"/>
      <c r="G700" s="83" t="s">
        <v>530</v>
      </c>
      <c r="H700" s="399">
        <f>500000+T700+S700</f>
        <v>495000</v>
      </c>
      <c r="I700" s="399">
        <v>1300000</v>
      </c>
      <c r="J700" s="399"/>
      <c r="K700" s="414"/>
      <c r="L700" s="386">
        <f t="shared" si="92"/>
        <v>1795000</v>
      </c>
      <c r="M700" s="386">
        <v>312834.15</v>
      </c>
      <c r="N700" s="386">
        <v>99092</v>
      </c>
      <c r="O700" s="86"/>
      <c r="P700" s="55"/>
      <c r="Q700" s="86">
        <v>29760</v>
      </c>
      <c r="R700" s="435">
        <f t="shared" si="93"/>
        <v>63.19881818181818</v>
      </c>
      <c r="S700" s="52">
        <v>20000</v>
      </c>
      <c r="T700" s="52">
        <v>-25000</v>
      </c>
      <c r="V700" s="52">
        <f t="shared" si="90"/>
        <v>152405.84999999998</v>
      </c>
      <c r="AI700" s="52"/>
    </row>
    <row r="701" spans="1:35" ht="12">
      <c r="A701" s="128" t="s">
        <v>436</v>
      </c>
      <c r="B701" s="24"/>
      <c r="C701" s="126"/>
      <c r="D701" s="24"/>
      <c r="E701" s="127">
        <v>465</v>
      </c>
      <c r="F701" s="114"/>
      <c r="G701" s="129" t="s">
        <v>558</v>
      </c>
      <c r="H701" s="414">
        <f>+S701+T701</f>
        <v>71000</v>
      </c>
      <c r="I701" s="415">
        <f>+U701</f>
        <v>10000</v>
      </c>
      <c r="J701" s="416"/>
      <c r="K701" s="416"/>
      <c r="L701" s="386">
        <f t="shared" si="92"/>
        <v>81000</v>
      </c>
      <c r="M701" s="86">
        <v>67246</v>
      </c>
      <c r="N701" s="86">
        <v>7471</v>
      </c>
      <c r="O701" s="86"/>
      <c r="P701" s="394"/>
      <c r="Q701" s="130"/>
      <c r="R701" s="435">
        <f t="shared" si="93"/>
        <v>94.71267605633803</v>
      </c>
      <c r="S701" s="52">
        <v>1000</v>
      </c>
      <c r="T701" s="52">
        <v>70000</v>
      </c>
      <c r="U701" s="66">
        <v>10000</v>
      </c>
      <c r="V701" s="52">
        <f t="shared" si="90"/>
        <v>3754</v>
      </c>
      <c r="AI701" s="52"/>
    </row>
    <row r="702" spans="1:35" ht="12">
      <c r="A702" s="126">
        <f>A700+1</f>
        <v>163</v>
      </c>
      <c r="B702" s="24"/>
      <c r="C702" s="126"/>
      <c r="D702" s="24"/>
      <c r="E702" s="127">
        <v>482</v>
      </c>
      <c r="F702" s="109"/>
      <c r="G702" s="129" t="s">
        <v>541</v>
      </c>
      <c r="H702" s="414"/>
      <c r="I702" s="415"/>
      <c r="J702" s="416"/>
      <c r="K702" s="416"/>
      <c r="L702" s="414"/>
      <c r="M702" s="52"/>
      <c r="N702" s="130"/>
      <c r="O702" s="393"/>
      <c r="P702" s="52"/>
      <c r="Q702" s="130"/>
      <c r="R702" s="436"/>
      <c r="S702" s="52"/>
      <c r="T702" s="52"/>
      <c r="V702" s="52">
        <f t="shared" si="90"/>
        <v>0</v>
      </c>
      <c r="AI702" s="52"/>
    </row>
    <row r="703" spans="1:35" ht="12">
      <c r="A703" s="131"/>
      <c r="B703" s="25"/>
      <c r="C703" s="131"/>
      <c r="D703" s="25"/>
      <c r="E703" s="132"/>
      <c r="F703" s="21"/>
      <c r="G703" s="134" t="s">
        <v>604</v>
      </c>
      <c r="H703" s="417"/>
      <c r="I703" s="407"/>
      <c r="J703" s="418"/>
      <c r="K703" s="418"/>
      <c r="L703" s="417"/>
      <c r="M703" s="52"/>
      <c r="N703" s="135"/>
      <c r="O703" s="393"/>
      <c r="P703" s="52"/>
      <c r="Q703" s="135"/>
      <c r="R703" s="437"/>
      <c r="S703" s="52"/>
      <c r="T703" s="52"/>
      <c r="U703" s="52"/>
      <c r="V703" s="52">
        <f t="shared" si="90"/>
        <v>0</v>
      </c>
      <c r="AI703" s="52"/>
    </row>
    <row r="704" spans="1:35" ht="12">
      <c r="A704" s="80">
        <f>A702+1</f>
        <v>164</v>
      </c>
      <c r="B704" s="80"/>
      <c r="C704" s="80"/>
      <c r="D704" s="80"/>
      <c r="E704" s="85">
        <v>512</v>
      </c>
      <c r="F704" s="112"/>
      <c r="G704" s="83" t="s">
        <v>572</v>
      </c>
      <c r="H704" s="399">
        <v>50000</v>
      </c>
      <c r="I704" s="399">
        <v>60000</v>
      </c>
      <c r="J704" s="399"/>
      <c r="K704" s="417"/>
      <c r="L704" s="386">
        <f>+H704+I704+J704+K704</f>
        <v>110000</v>
      </c>
      <c r="M704" s="386">
        <v>21240</v>
      </c>
      <c r="N704" s="386">
        <v>0</v>
      </c>
      <c r="O704" s="86"/>
      <c r="P704" s="55"/>
      <c r="Q704" s="86"/>
      <c r="R704" s="437">
        <f>+M704/H704*100</f>
        <v>42.480000000000004</v>
      </c>
      <c r="S704" s="52"/>
      <c r="T704" s="52"/>
      <c r="V704" s="52">
        <f t="shared" si="90"/>
        <v>28760</v>
      </c>
      <c r="AI704" s="52"/>
    </row>
    <row r="705" spans="1:35" ht="12">
      <c r="A705" s="12"/>
      <c r="B705" s="12"/>
      <c r="C705" s="12"/>
      <c r="D705" s="12"/>
      <c r="E705" s="3"/>
      <c r="F705" s="103"/>
      <c r="G705" s="3" t="s">
        <v>820</v>
      </c>
      <c r="H705" s="91">
        <f aca="true" t="shared" si="95" ref="H705:O705">SUM(H690:H704)</f>
        <v>36462000</v>
      </c>
      <c r="I705" s="91">
        <f t="shared" si="95"/>
        <v>14168000</v>
      </c>
      <c r="J705" s="91">
        <f t="shared" si="95"/>
        <v>600000</v>
      </c>
      <c r="K705" s="91">
        <f t="shared" si="95"/>
        <v>0</v>
      </c>
      <c r="L705" s="91">
        <f t="shared" si="95"/>
        <v>51230000</v>
      </c>
      <c r="M705" s="499">
        <f t="shared" si="95"/>
        <v>32011122.68</v>
      </c>
      <c r="N705" s="499">
        <f t="shared" si="95"/>
        <v>5430928.04</v>
      </c>
      <c r="O705" s="499">
        <f t="shared" si="95"/>
        <v>300000</v>
      </c>
      <c r="P705" s="86"/>
      <c r="Q705" s="135">
        <f>SUM(Q690:Q704)</f>
        <v>2137301.19</v>
      </c>
      <c r="R705" s="437">
        <f>+M705/H705*100</f>
        <v>87.793107015523</v>
      </c>
      <c r="S705" s="52"/>
      <c r="T705" s="52"/>
      <c r="V705" s="52">
        <f t="shared" si="90"/>
        <v>2313576.1300000027</v>
      </c>
      <c r="Y705" s="52"/>
      <c r="AB705" s="52"/>
      <c r="AI705" s="52"/>
    </row>
    <row r="706" spans="1:35" ht="12">
      <c r="A706" s="148"/>
      <c r="B706" s="13"/>
      <c r="C706" s="13"/>
      <c r="D706" s="13"/>
      <c r="E706" s="15"/>
      <c r="F706" s="105"/>
      <c r="G706" s="39" t="s">
        <v>892</v>
      </c>
      <c r="H706" s="415"/>
      <c r="I706" s="415"/>
      <c r="J706" s="415"/>
      <c r="K706" s="415"/>
      <c r="L706" s="415"/>
      <c r="M706" s="61"/>
      <c r="N706" s="61"/>
      <c r="O706" s="61"/>
      <c r="P706" s="61"/>
      <c r="Q706" s="61"/>
      <c r="R706" s="438"/>
      <c r="S706" s="52"/>
      <c r="T706" s="52"/>
      <c r="V706" s="52">
        <f t="shared" si="90"/>
        <v>0</v>
      </c>
      <c r="AI706" s="52"/>
    </row>
    <row r="707" spans="1:35" ht="12">
      <c r="A707" s="149"/>
      <c r="B707" s="2"/>
      <c r="C707" s="2"/>
      <c r="D707" s="2"/>
      <c r="E707" s="5"/>
      <c r="F707" s="151" t="s">
        <v>73</v>
      </c>
      <c r="G707" s="20" t="s">
        <v>674</v>
      </c>
      <c r="H707" s="10">
        <f>+H705</f>
        <v>36462000</v>
      </c>
      <c r="I707" s="10"/>
      <c r="J707" s="10"/>
      <c r="K707" s="10"/>
      <c r="L707" s="10"/>
      <c r="M707" s="62">
        <f>+M705</f>
        <v>32011122.68</v>
      </c>
      <c r="N707" s="62"/>
      <c r="O707" s="62"/>
      <c r="P707" s="62"/>
      <c r="Q707" s="62"/>
      <c r="R707" s="439"/>
      <c r="S707" s="52"/>
      <c r="T707" s="52"/>
      <c r="V707" s="52">
        <f t="shared" si="90"/>
        <v>4450877.32</v>
      </c>
      <c r="Z707" s="52"/>
      <c r="AA707" s="52"/>
      <c r="AC707" s="52"/>
      <c r="AD707" s="52"/>
      <c r="AI707" s="52"/>
    </row>
    <row r="708" spans="1:35" ht="12">
      <c r="A708" s="149"/>
      <c r="B708" s="2"/>
      <c r="C708" s="2"/>
      <c r="D708" s="2"/>
      <c r="E708" s="5"/>
      <c r="F708" s="151" t="s">
        <v>57</v>
      </c>
      <c r="G708" s="170" t="s">
        <v>881</v>
      </c>
      <c r="H708" s="10"/>
      <c r="I708" s="10">
        <f>+I705</f>
        <v>14168000</v>
      </c>
      <c r="J708" s="10"/>
      <c r="K708" s="10"/>
      <c r="L708" s="10"/>
      <c r="M708" s="62"/>
      <c r="N708" s="62">
        <f>+N705</f>
        <v>5430928.04</v>
      </c>
      <c r="O708" s="62"/>
      <c r="P708" s="62"/>
      <c r="Q708" s="62"/>
      <c r="R708" s="439"/>
      <c r="S708" s="52"/>
      <c r="T708" s="52"/>
      <c r="V708" s="52">
        <f t="shared" si="90"/>
        <v>0</v>
      </c>
      <c r="AI708" s="52"/>
    </row>
    <row r="709" spans="1:35" ht="12">
      <c r="A709" s="149"/>
      <c r="B709" s="2"/>
      <c r="C709" s="2"/>
      <c r="D709" s="2"/>
      <c r="E709" s="5"/>
      <c r="F709" s="17" t="s">
        <v>268</v>
      </c>
      <c r="G709" s="20" t="s">
        <v>676</v>
      </c>
      <c r="H709" s="10"/>
      <c r="I709" s="10"/>
      <c r="J709" s="10">
        <f>+J705-300000</f>
        <v>300000</v>
      </c>
      <c r="K709" s="10"/>
      <c r="L709" s="10"/>
      <c r="M709" s="62"/>
      <c r="N709" s="62"/>
      <c r="O709" s="62">
        <f>+O692</f>
        <v>0</v>
      </c>
      <c r="P709" s="62"/>
      <c r="Q709" s="62"/>
      <c r="R709" s="439"/>
      <c r="S709" s="52"/>
      <c r="T709" s="52"/>
      <c r="V709" s="52">
        <f t="shared" si="90"/>
        <v>0</v>
      </c>
      <c r="AI709" s="52"/>
    </row>
    <row r="710" spans="1:35" ht="12">
      <c r="A710" s="149"/>
      <c r="B710" s="2"/>
      <c r="C710" s="2"/>
      <c r="D710" s="2"/>
      <c r="E710" s="5"/>
      <c r="F710" s="17" t="s">
        <v>413</v>
      </c>
      <c r="G710" s="20" t="s">
        <v>767</v>
      </c>
      <c r="H710" s="10"/>
      <c r="I710" s="10"/>
      <c r="J710" s="10">
        <f>+J705-300000</f>
        <v>300000</v>
      </c>
      <c r="K710" s="10"/>
      <c r="L710" s="10"/>
      <c r="M710" s="62"/>
      <c r="N710" s="62"/>
      <c r="O710" s="62">
        <f>+O698</f>
        <v>300000</v>
      </c>
      <c r="P710" s="62"/>
      <c r="Q710" s="62"/>
      <c r="R710" s="439"/>
      <c r="S710" s="52"/>
      <c r="T710" s="52"/>
      <c r="V710" s="52">
        <f t="shared" si="90"/>
        <v>0</v>
      </c>
      <c r="AI710" s="52"/>
    </row>
    <row r="711" spans="1:35" ht="12">
      <c r="A711" s="149"/>
      <c r="B711" s="2"/>
      <c r="C711" s="2"/>
      <c r="D711" s="2"/>
      <c r="E711" s="5"/>
      <c r="F711" s="151"/>
      <c r="G711" s="1" t="s">
        <v>893</v>
      </c>
      <c r="H711" s="10"/>
      <c r="I711" s="10"/>
      <c r="J711" s="10"/>
      <c r="K711" s="10"/>
      <c r="L711" s="10">
        <f>+H707+I708+J709+J710</f>
        <v>51230000</v>
      </c>
      <c r="M711" s="62"/>
      <c r="N711" s="62"/>
      <c r="O711" s="62"/>
      <c r="P711" s="62"/>
      <c r="Q711" s="62"/>
      <c r="R711" s="439"/>
      <c r="S711" s="52"/>
      <c r="T711" s="52"/>
      <c r="V711" s="52">
        <f t="shared" si="90"/>
        <v>0</v>
      </c>
      <c r="AI711" s="52"/>
    </row>
    <row r="712" spans="1:35" ht="12">
      <c r="A712" s="149"/>
      <c r="B712" s="2"/>
      <c r="C712" s="2"/>
      <c r="D712" s="2"/>
      <c r="E712" s="5"/>
      <c r="F712" s="151"/>
      <c r="G712" s="1" t="s">
        <v>864</v>
      </c>
      <c r="H712" s="10"/>
      <c r="I712" s="10"/>
      <c r="J712" s="10"/>
      <c r="K712" s="10"/>
      <c r="L712" s="10"/>
      <c r="M712" s="62"/>
      <c r="N712" s="62"/>
      <c r="O712" s="62"/>
      <c r="P712" s="62"/>
      <c r="Q712" s="62"/>
      <c r="R712" s="439"/>
      <c r="S712" s="52"/>
      <c r="T712" s="52"/>
      <c r="V712" s="52">
        <f t="shared" si="90"/>
        <v>0</v>
      </c>
      <c r="AI712" s="52"/>
    </row>
    <row r="713" spans="1:35" ht="12">
      <c r="A713" s="149"/>
      <c r="B713" s="2"/>
      <c r="C713" s="2"/>
      <c r="D713" s="2"/>
      <c r="E713" s="5"/>
      <c r="F713" s="151" t="s">
        <v>73</v>
      </c>
      <c r="G713" s="20" t="s">
        <v>674</v>
      </c>
      <c r="H713" s="10">
        <f>+H707</f>
        <v>36462000</v>
      </c>
      <c r="I713" s="10"/>
      <c r="J713" s="10"/>
      <c r="K713" s="10"/>
      <c r="L713" s="10"/>
      <c r="M713" s="62">
        <f>+M707</f>
        <v>32011122.68</v>
      </c>
      <c r="N713" s="62"/>
      <c r="O713" s="62"/>
      <c r="P713" s="62"/>
      <c r="Q713" s="62"/>
      <c r="R713" s="439"/>
      <c r="S713" s="52"/>
      <c r="T713" s="52"/>
      <c r="V713" s="52">
        <f t="shared" si="90"/>
        <v>4450877.32</v>
      </c>
      <c r="AI713" s="52"/>
    </row>
    <row r="714" spans="1:35" ht="12">
      <c r="A714" s="149"/>
      <c r="B714" s="2"/>
      <c r="C714" s="2"/>
      <c r="D714" s="2"/>
      <c r="E714" s="5"/>
      <c r="F714" s="151" t="s">
        <v>57</v>
      </c>
      <c r="G714" s="170" t="s">
        <v>881</v>
      </c>
      <c r="H714" s="10"/>
      <c r="I714" s="10">
        <f>+I708</f>
        <v>14168000</v>
      </c>
      <c r="J714" s="10"/>
      <c r="K714" s="10"/>
      <c r="L714" s="10"/>
      <c r="M714" s="62"/>
      <c r="N714" s="62">
        <f>+N708</f>
        <v>5430928.04</v>
      </c>
      <c r="O714" s="62"/>
      <c r="P714" s="62"/>
      <c r="Q714" s="62"/>
      <c r="R714" s="439"/>
      <c r="S714" s="52"/>
      <c r="T714" s="52"/>
      <c r="V714" s="52">
        <f t="shared" si="90"/>
        <v>0</v>
      </c>
      <c r="AI714" s="52"/>
    </row>
    <row r="715" spans="1:35" ht="12">
      <c r="A715" s="149"/>
      <c r="B715" s="2"/>
      <c r="C715" s="2"/>
      <c r="D715" s="2"/>
      <c r="E715" s="5"/>
      <c r="F715" s="17" t="s">
        <v>268</v>
      </c>
      <c r="G715" s="20" t="s">
        <v>676</v>
      </c>
      <c r="H715" s="10"/>
      <c r="I715" s="10"/>
      <c r="J715" s="10">
        <f>+J709</f>
        <v>300000</v>
      </c>
      <c r="K715" s="10"/>
      <c r="L715" s="10"/>
      <c r="M715" s="62"/>
      <c r="N715" s="62"/>
      <c r="O715" s="62">
        <f>+O709</f>
        <v>0</v>
      </c>
      <c r="P715" s="62"/>
      <c r="Q715" s="62"/>
      <c r="R715" s="439"/>
      <c r="S715" s="52"/>
      <c r="T715" s="52"/>
      <c r="V715" s="52">
        <f t="shared" si="90"/>
        <v>0</v>
      </c>
      <c r="AI715" s="52"/>
    </row>
    <row r="716" spans="1:35" ht="12">
      <c r="A716" s="149"/>
      <c r="B716" s="2"/>
      <c r="C716" s="2"/>
      <c r="D716" s="2"/>
      <c r="E716" s="5"/>
      <c r="F716" s="17" t="s">
        <v>413</v>
      </c>
      <c r="G716" s="20" t="s">
        <v>767</v>
      </c>
      <c r="H716" s="10"/>
      <c r="I716" s="10"/>
      <c r="J716" s="10">
        <f>+J710</f>
        <v>300000</v>
      </c>
      <c r="K716" s="10"/>
      <c r="L716" s="10"/>
      <c r="M716" s="62"/>
      <c r="N716" s="62"/>
      <c r="O716" s="62">
        <f>+O710</f>
        <v>300000</v>
      </c>
      <c r="P716" s="62"/>
      <c r="Q716" s="62"/>
      <c r="R716" s="439"/>
      <c r="S716" s="52"/>
      <c r="T716" s="52"/>
      <c r="V716" s="52">
        <f t="shared" si="90"/>
        <v>0</v>
      </c>
      <c r="AI716" s="52"/>
    </row>
    <row r="717" spans="1:35" ht="12">
      <c r="A717" s="150"/>
      <c r="B717" s="40"/>
      <c r="C717" s="40"/>
      <c r="D717" s="40"/>
      <c r="E717" s="19"/>
      <c r="F717" s="123"/>
      <c r="G717" s="90" t="s">
        <v>821</v>
      </c>
      <c r="H717" s="407"/>
      <c r="I717" s="407"/>
      <c r="J717" s="407"/>
      <c r="K717" s="10"/>
      <c r="L717" s="10">
        <f>+H713+I714+J715+J716</f>
        <v>51230000</v>
      </c>
      <c r="M717" s="53"/>
      <c r="N717" s="53"/>
      <c r="O717" s="53"/>
      <c r="P717" s="53"/>
      <c r="Q717" s="53"/>
      <c r="R717" s="543">
        <f>+O716+O715+N714+M713</f>
        <v>37742050.72</v>
      </c>
      <c r="S717" s="52"/>
      <c r="T717" s="52"/>
      <c r="V717" s="52">
        <f t="shared" si="90"/>
        <v>0</v>
      </c>
      <c r="AI717" s="52"/>
    </row>
    <row r="718" spans="1:35" ht="12">
      <c r="A718" s="88"/>
      <c r="B718" s="88"/>
      <c r="C718" s="88"/>
      <c r="D718" s="85"/>
      <c r="E718" s="82"/>
      <c r="F718" s="153"/>
      <c r="G718" s="82"/>
      <c r="H718" s="399"/>
      <c r="I718" s="399"/>
      <c r="J718" s="399"/>
      <c r="K718" s="399"/>
      <c r="L718" s="399"/>
      <c r="M718" s="86"/>
      <c r="N718" s="86"/>
      <c r="O718" s="86"/>
      <c r="P718" s="86"/>
      <c r="Q718" s="86"/>
      <c r="R718" s="435"/>
      <c r="S718" s="52"/>
      <c r="T718" s="52"/>
      <c r="V718" s="52">
        <f t="shared" si="90"/>
        <v>0</v>
      </c>
      <c r="AI718" s="52"/>
    </row>
    <row r="719" spans="1:35" s="71" customFormat="1" ht="12">
      <c r="A719" s="88"/>
      <c r="B719" s="88"/>
      <c r="C719" s="89" t="s">
        <v>111</v>
      </c>
      <c r="D719" s="88"/>
      <c r="E719" s="82"/>
      <c r="F719" s="153"/>
      <c r="G719" s="82" t="s">
        <v>894</v>
      </c>
      <c r="H719" s="399"/>
      <c r="I719" s="420"/>
      <c r="J719" s="420"/>
      <c r="K719" s="420"/>
      <c r="L719" s="420"/>
      <c r="M719" s="86"/>
      <c r="N719" s="86"/>
      <c r="O719" s="86"/>
      <c r="P719" s="86"/>
      <c r="Q719" s="86"/>
      <c r="R719" s="435"/>
      <c r="S719" s="62"/>
      <c r="T719" s="62"/>
      <c r="V719" s="52">
        <f t="shared" si="90"/>
        <v>0</v>
      </c>
      <c r="AI719" s="52"/>
    </row>
    <row r="720" spans="1:35" ht="12">
      <c r="A720" s="88"/>
      <c r="B720" s="88"/>
      <c r="C720" s="88"/>
      <c r="D720" s="89">
        <v>810</v>
      </c>
      <c r="E720" s="82"/>
      <c r="F720" s="153"/>
      <c r="G720" s="92" t="s">
        <v>725</v>
      </c>
      <c r="H720" s="399"/>
      <c r="I720" s="420"/>
      <c r="J720" s="420"/>
      <c r="K720" s="420"/>
      <c r="L720" s="420"/>
      <c r="M720" s="86"/>
      <c r="N720" s="86"/>
      <c r="O720" s="86"/>
      <c r="P720" s="86"/>
      <c r="Q720" s="86"/>
      <c r="R720" s="435"/>
      <c r="S720" s="52"/>
      <c r="T720" s="52"/>
      <c r="V720" s="52">
        <f t="shared" si="90"/>
        <v>0</v>
      </c>
      <c r="AI720" s="52"/>
    </row>
    <row r="721" spans="1:35" ht="12">
      <c r="A721" s="80">
        <f>+A704+1</f>
        <v>165</v>
      </c>
      <c r="B721" s="80"/>
      <c r="C721" s="80"/>
      <c r="D721" s="83"/>
      <c r="E721" s="157">
        <v>411</v>
      </c>
      <c r="F721" s="112"/>
      <c r="G721" s="83" t="s">
        <v>683</v>
      </c>
      <c r="H721" s="86">
        <f>8935000+T721+3</f>
        <v>8870939</v>
      </c>
      <c r="I721" s="399">
        <f>2793000+U721</f>
        <v>2790050</v>
      </c>
      <c r="J721" s="399"/>
      <c r="K721" s="399"/>
      <c r="L721" s="399">
        <f aca="true" t="shared" si="96" ref="L721:L733">+H721+I721+J721+K721</f>
        <v>11660989</v>
      </c>
      <c r="M721" s="386">
        <v>8870929.31</v>
      </c>
      <c r="N721" s="386">
        <v>2733421</v>
      </c>
      <c r="O721" s="86"/>
      <c r="P721" s="394"/>
      <c r="Q721" s="394"/>
      <c r="R721" s="435">
        <f>+M721/H721*100</f>
        <v>99.99989076691882</v>
      </c>
      <c r="S721" s="52"/>
      <c r="T721" s="52">
        <v>-64064</v>
      </c>
      <c r="U721" s="66">
        <v>-2950</v>
      </c>
      <c r="V721" s="52">
        <f t="shared" si="90"/>
        <v>9.68999999947846</v>
      </c>
      <c r="AI721" s="52"/>
    </row>
    <row r="722" spans="1:35" ht="12">
      <c r="A722" s="80">
        <f>A721+1</f>
        <v>166</v>
      </c>
      <c r="B722" s="80"/>
      <c r="C722" s="80"/>
      <c r="D722" s="83"/>
      <c r="E722" s="157">
        <v>412</v>
      </c>
      <c r="F722" s="112"/>
      <c r="G722" s="83" t="s">
        <v>551</v>
      </c>
      <c r="H722" s="86">
        <f>1607000+T722</f>
        <v>1595533</v>
      </c>
      <c r="I722" s="399">
        <f>502000+U722</f>
        <v>501471</v>
      </c>
      <c r="J722" s="399"/>
      <c r="K722" s="399"/>
      <c r="L722" s="399">
        <f t="shared" si="96"/>
        <v>2097004</v>
      </c>
      <c r="M722" s="386">
        <v>1587896.25</v>
      </c>
      <c r="N722" s="386">
        <v>488695</v>
      </c>
      <c r="O722" s="86"/>
      <c r="P722" s="394"/>
      <c r="Q722" s="394"/>
      <c r="R722" s="435">
        <f aca="true" t="shared" si="97" ref="R722:R732">+M722/H722*100</f>
        <v>99.52136684104936</v>
      </c>
      <c r="S722" s="52"/>
      <c r="T722" s="52">
        <v>-11467</v>
      </c>
      <c r="U722" s="66">
        <v>-529</v>
      </c>
      <c r="V722" s="52">
        <f t="shared" si="90"/>
        <v>7636.75</v>
      </c>
      <c r="AI722" s="52"/>
    </row>
    <row r="723" spans="1:35" ht="12">
      <c r="A723" s="80">
        <f>A722+1</f>
        <v>167</v>
      </c>
      <c r="B723" s="80"/>
      <c r="C723" s="80"/>
      <c r="D723" s="83"/>
      <c r="E723" s="157">
        <v>414</v>
      </c>
      <c r="F723" s="112"/>
      <c r="G723" s="83" t="s">
        <v>552</v>
      </c>
      <c r="H723" s="399">
        <v>88000</v>
      </c>
      <c r="I723" s="399">
        <f>43000+110000</f>
        <v>153000</v>
      </c>
      <c r="J723" s="399">
        <v>200000</v>
      </c>
      <c r="K723" s="399"/>
      <c r="L723" s="399">
        <f t="shared" si="96"/>
        <v>441000</v>
      </c>
      <c r="M723" s="386">
        <v>80000</v>
      </c>
      <c r="N723" s="386">
        <v>153000</v>
      </c>
      <c r="O723" s="86"/>
      <c r="P723" s="394"/>
      <c r="Q723" s="394"/>
      <c r="R723" s="435">
        <f t="shared" si="97"/>
        <v>90.9090909090909</v>
      </c>
      <c r="S723" s="52"/>
      <c r="T723" s="52"/>
      <c r="V723" s="52">
        <f t="shared" si="90"/>
        <v>8000</v>
      </c>
      <c r="AI723" s="52"/>
    </row>
    <row r="724" spans="1:35" ht="12">
      <c r="A724" s="80">
        <f>A723+1</f>
        <v>168</v>
      </c>
      <c r="B724" s="80"/>
      <c r="C724" s="80"/>
      <c r="D724" s="83"/>
      <c r="E724" s="157">
        <v>415</v>
      </c>
      <c r="F724" s="112"/>
      <c r="G724" s="83" t="s">
        <v>565</v>
      </c>
      <c r="H724" s="399">
        <v>275000</v>
      </c>
      <c r="I724" s="399">
        <v>160000</v>
      </c>
      <c r="J724" s="399"/>
      <c r="K724" s="399"/>
      <c r="L724" s="399">
        <f t="shared" si="96"/>
        <v>435000</v>
      </c>
      <c r="M724" s="386">
        <v>210680</v>
      </c>
      <c r="N724" s="386">
        <v>146560</v>
      </c>
      <c r="O724" s="86"/>
      <c r="P724" s="55"/>
      <c r="Q724" s="86"/>
      <c r="R724" s="435">
        <f t="shared" si="97"/>
        <v>76.61090909090909</v>
      </c>
      <c r="S724" s="52"/>
      <c r="T724" s="52"/>
      <c r="V724" s="52">
        <f t="shared" si="90"/>
        <v>64320</v>
      </c>
      <c r="AI724" s="52"/>
    </row>
    <row r="725" spans="1:35" ht="12">
      <c r="A725" s="80">
        <f>A724+1</f>
        <v>169</v>
      </c>
      <c r="B725" s="80"/>
      <c r="C725" s="80"/>
      <c r="D725" s="83"/>
      <c r="E725" s="157">
        <v>416</v>
      </c>
      <c r="F725" s="112"/>
      <c r="G725" s="83" t="s">
        <v>547</v>
      </c>
      <c r="H725" s="399">
        <f>297000+143000</f>
        <v>440000</v>
      </c>
      <c r="I725" s="399">
        <v>35000</v>
      </c>
      <c r="J725" s="399"/>
      <c r="K725" s="399"/>
      <c r="L725" s="399">
        <f t="shared" si="96"/>
        <v>475000</v>
      </c>
      <c r="M725" s="386">
        <v>321726</v>
      </c>
      <c r="N725" s="386"/>
      <c r="O725" s="86"/>
      <c r="P725" s="55"/>
      <c r="Q725" s="86"/>
      <c r="R725" s="435">
        <f t="shared" si="97"/>
        <v>73.11954545454546</v>
      </c>
      <c r="S725" s="52"/>
      <c r="T725" s="52"/>
      <c r="V725" s="52">
        <f t="shared" si="90"/>
        <v>118274</v>
      </c>
      <c r="AI725" s="52"/>
    </row>
    <row r="726" spans="1:35" ht="12">
      <c r="A726" s="80">
        <f aca="true" t="shared" si="98" ref="A726:A731">+A725+1</f>
        <v>170</v>
      </c>
      <c r="B726" s="80"/>
      <c r="C726" s="80"/>
      <c r="D726" s="83"/>
      <c r="E726" s="157">
        <v>421</v>
      </c>
      <c r="F726" s="112"/>
      <c r="G726" s="83" t="s">
        <v>567</v>
      </c>
      <c r="H726" s="399">
        <f>3850000+1150000+1100000+T726</f>
        <v>5900000</v>
      </c>
      <c r="I726" s="399">
        <v>2500000</v>
      </c>
      <c r="J726" s="399"/>
      <c r="K726" s="399"/>
      <c r="L726" s="399">
        <f t="shared" si="96"/>
        <v>8400000</v>
      </c>
      <c r="M726" s="386">
        <v>5508967.46</v>
      </c>
      <c r="N726" s="386">
        <v>691595</v>
      </c>
      <c r="O726" s="86"/>
      <c r="P726" s="55"/>
      <c r="Q726" s="86">
        <v>316277.91</v>
      </c>
      <c r="R726" s="435">
        <f t="shared" si="97"/>
        <v>93.37232983050848</v>
      </c>
      <c r="S726" s="52"/>
      <c r="T726" s="52">
        <v>-200000</v>
      </c>
      <c r="V726" s="52">
        <f t="shared" si="90"/>
        <v>74754.62999999989</v>
      </c>
      <c r="AI726" s="52"/>
    </row>
    <row r="727" spans="1:35" ht="12">
      <c r="A727" s="80">
        <f t="shared" si="98"/>
        <v>171</v>
      </c>
      <c r="B727" s="80"/>
      <c r="C727" s="80"/>
      <c r="D727" s="83"/>
      <c r="E727" s="157">
        <v>422</v>
      </c>
      <c r="F727" s="112"/>
      <c r="G727" s="83" t="s">
        <v>569</v>
      </c>
      <c r="H727" s="399">
        <v>160000</v>
      </c>
      <c r="I727" s="399">
        <v>200000</v>
      </c>
      <c r="J727" s="399"/>
      <c r="K727" s="399"/>
      <c r="L727" s="399">
        <f t="shared" si="96"/>
        <v>360000</v>
      </c>
      <c r="M727" s="386">
        <v>119854</v>
      </c>
      <c r="N727" s="386">
        <v>265091</v>
      </c>
      <c r="O727" s="86"/>
      <c r="P727" s="55"/>
      <c r="Q727" s="86"/>
      <c r="R727" s="435">
        <f t="shared" si="97"/>
        <v>74.90875</v>
      </c>
      <c r="S727" s="52"/>
      <c r="T727" s="52"/>
      <c r="V727" s="52">
        <f t="shared" si="90"/>
        <v>40146</v>
      </c>
      <c r="AI727" s="52"/>
    </row>
    <row r="728" spans="1:35" ht="12">
      <c r="A728" s="80">
        <f t="shared" si="98"/>
        <v>172</v>
      </c>
      <c r="B728" s="80"/>
      <c r="C728" s="80"/>
      <c r="D728" s="83"/>
      <c r="E728" s="157">
        <v>423</v>
      </c>
      <c r="F728" s="112"/>
      <c r="G728" s="83" t="s">
        <v>539</v>
      </c>
      <c r="H728" s="399">
        <f>1000000+200000</f>
        <v>1200000</v>
      </c>
      <c r="I728" s="399">
        <v>1500000</v>
      </c>
      <c r="J728" s="399"/>
      <c r="K728" s="399"/>
      <c r="L728" s="399">
        <f t="shared" si="96"/>
        <v>2700000</v>
      </c>
      <c r="M728" s="386">
        <v>953484</v>
      </c>
      <c r="N728" s="386">
        <v>466897</v>
      </c>
      <c r="O728" s="86"/>
      <c r="P728" s="55"/>
      <c r="Q728" s="86"/>
      <c r="R728" s="435">
        <f t="shared" si="97"/>
        <v>79.457</v>
      </c>
      <c r="S728" s="52"/>
      <c r="T728" s="52"/>
      <c r="V728" s="52">
        <f t="shared" si="90"/>
        <v>246516</v>
      </c>
      <c r="AI728" s="52"/>
    </row>
    <row r="729" spans="1:35" ht="12">
      <c r="A729" s="80">
        <f t="shared" si="98"/>
        <v>173</v>
      </c>
      <c r="B729" s="80"/>
      <c r="C729" s="80"/>
      <c r="D729" s="83"/>
      <c r="E729" s="157">
        <v>424</v>
      </c>
      <c r="F729" s="112"/>
      <c r="G729" s="83" t="s">
        <v>554</v>
      </c>
      <c r="H729" s="399">
        <f>1860000+330000+S729</f>
        <v>2275000</v>
      </c>
      <c r="I729" s="399">
        <v>1200000</v>
      </c>
      <c r="J729" s="399"/>
      <c r="K729" s="399"/>
      <c r="L729" s="399">
        <f t="shared" si="96"/>
        <v>3475000</v>
      </c>
      <c r="M729" s="386">
        <v>2211000</v>
      </c>
      <c r="N729" s="386">
        <v>475716</v>
      </c>
      <c r="O729" s="86"/>
      <c r="P729" s="55"/>
      <c r="Q729" s="86"/>
      <c r="R729" s="435">
        <f t="shared" si="97"/>
        <v>97.1868131868132</v>
      </c>
      <c r="S729" s="52">
        <f>85000+132000-132000</f>
        <v>85000</v>
      </c>
      <c r="T729" s="52"/>
      <c r="V729" s="52">
        <f aca="true" t="shared" si="99" ref="V729:V792">+H729-(M729+Q729)</f>
        <v>64000</v>
      </c>
      <c r="AI729" s="52"/>
    </row>
    <row r="730" spans="1:35" ht="12">
      <c r="A730" s="80">
        <f t="shared" si="98"/>
        <v>174</v>
      </c>
      <c r="B730" s="80"/>
      <c r="C730" s="80"/>
      <c r="D730" s="83"/>
      <c r="E730" s="157">
        <v>425</v>
      </c>
      <c r="F730" s="112"/>
      <c r="G730" s="83" t="s">
        <v>540</v>
      </c>
      <c r="H730" s="399">
        <f>1000000+T730</f>
        <v>1100000</v>
      </c>
      <c r="I730" s="399">
        <v>2000000</v>
      </c>
      <c r="J730" s="399"/>
      <c r="K730" s="399"/>
      <c r="L730" s="399">
        <f t="shared" si="96"/>
        <v>3100000</v>
      </c>
      <c r="M730" s="386">
        <v>1024141.96</v>
      </c>
      <c r="N730" s="386">
        <v>551859</v>
      </c>
      <c r="O730" s="86"/>
      <c r="P730" s="55"/>
      <c r="Q730" s="86"/>
      <c r="R730" s="435">
        <f t="shared" si="97"/>
        <v>93.10381454545454</v>
      </c>
      <c r="S730" s="52"/>
      <c r="T730" s="52">
        <v>100000</v>
      </c>
      <c r="V730" s="52">
        <f t="shared" si="99"/>
        <v>75858.04000000004</v>
      </c>
      <c r="AI730" s="52"/>
    </row>
    <row r="731" spans="1:35" ht="12">
      <c r="A731" s="80">
        <f t="shared" si="98"/>
        <v>175</v>
      </c>
      <c r="B731" s="80"/>
      <c r="C731" s="80"/>
      <c r="D731" s="83"/>
      <c r="E731" s="157">
        <v>426</v>
      </c>
      <c r="F731" s="112"/>
      <c r="G731" s="83" t="s">
        <v>530</v>
      </c>
      <c r="H731" s="399">
        <f>733000+T731</f>
        <v>833000</v>
      </c>
      <c r="I731" s="399">
        <v>1500000</v>
      </c>
      <c r="J731" s="399"/>
      <c r="K731" s="414"/>
      <c r="L731" s="414">
        <f t="shared" si="96"/>
        <v>2333000</v>
      </c>
      <c r="M731" s="386">
        <v>726105.24</v>
      </c>
      <c r="N731" s="386">
        <v>1214624</v>
      </c>
      <c r="O731" s="86"/>
      <c r="P731" s="55"/>
      <c r="Q731" s="86">
        <v>4289.04</v>
      </c>
      <c r="R731" s="435">
        <f t="shared" si="97"/>
        <v>87.16749579831932</v>
      </c>
      <c r="S731" s="52"/>
      <c r="T731" s="52">
        <v>100000</v>
      </c>
      <c r="V731" s="52">
        <f t="shared" si="99"/>
        <v>102605.71999999997</v>
      </c>
      <c r="AI731" s="52"/>
    </row>
    <row r="732" spans="1:35" ht="12">
      <c r="A732" s="128" t="s">
        <v>433</v>
      </c>
      <c r="B732" s="24"/>
      <c r="C732" s="126"/>
      <c r="D732" s="34"/>
      <c r="E732" s="522">
        <v>465</v>
      </c>
      <c r="F732" s="114"/>
      <c r="G732" s="129" t="s">
        <v>558</v>
      </c>
      <c r="H732" s="414">
        <f>+S732+T732</f>
        <v>76528</v>
      </c>
      <c r="I732" s="415">
        <f>+U732</f>
        <v>3479</v>
      </c>
      <c r="J732" s="416"/>
      <c r="K732" s="416"/>
      <c r="L732" s="414">
        <f t="shared" si="96"/>
        <v>80007</v>
      </c>
      <c r="M732" s="86">
        <v>75528</v>
      </c>
      <c r="N732" s="86">
        <v>3479</v>
      </c>
      <c r="O732" s="86"/>
      <c r="P732" s="394"/>
      <c r="Q732" s="130"/>
      <c r="R732" s="435">
        <f t="shared" si="97"/>
        <v>98.693288730922</v>
      </c>
      <c r="S732" s="52">
        <v>1000</v>
      </c>
      <c r="T732" s="52">
        <v>75528</v>
      </c>
      <c r="U732" s="66">
        <v>3479</v>
      </c>
      <c r="V732" s="52">
        <f t="shared" si="99"/>
        <v>1000</v>
      </c>
      <c r="AI732" s="52"/>
    </row>
    <row r="733" spans="1:35" ht="12">
      <c r="A733" s="126">
        <f>A731+1</f>
        <v>176</v>
      </c>
      <c r="B733" s="24"/>
      <c r="C733" s="126"/>
      <c r="D733" s="24"/>
      <c r="E733" s="127">
        <v>482</v>
      </c>
      <c r="F733" s="109"/>
      <c r="G733" s="129" t="s">
        <v>541</v>
      </c>
      <c r="H733" s="414"/>
      <c r="I733" s="415">
        <v>210000</v>
      </c>
      <c r="J733" s="416"/>
      <c r="K733" s="416"/>
      <c r="L733" s="414">
        <f t="shared" si="96"/>
        <v>210000</v>
      </c>
      <c r="M733" s="130">
        <v>0</v>
      </c>
      <c r="N733" s="52">
        <v>79120</v>
      </c>
      <c r="O733" s="393"/>
      <c r="P733" s="52"/>
      <c r="Q733" s="130"/>
      <c r="R733" s="436"/>
      <c r="S733" s="52"/>
      <c r="T733" s="52"/>
      <c r="V733" s="52">
        <f t="shared" si="99"/>
        <v>0</v>
      </c>
      <c r="AI733" s="52"/>
    </row>
    <row r="734" spans="1:35" ht="12">
      <c r="A734" s="131"/>
      <c r="B734" s="25"/>
      <c r="C734" s="131"/>
      <c r="D734" s="25"/>
      <c r="E734" s="132"/>
      <c r="F734" s="21"/>
      <c r="G734" s="134" t="s">
        <v>604</v>
      </c>
      <c r="H734" s="417"/>
      <c r="I734" s="407"/>
      <c r="J734" s="418"/>
      <c r="K734" s="418"/>
      <c r="L734" s="417"/>
      <c r="M734" s="135"/>
      <c r="N734" s="52"/>
      <c r="O734" s="393"/>
      <c r="P734" s="52"/>
      <c r="Q734" s="393"/>
      <c r="R734" s="437"/>
      <c r="S734" s="52"/>
      <c r="T734" s="52"/>
      <c r="V734" s="52">
        <f t="shared" si="99"/>
        <v>0</v>
      </c>
      <c r="AI734" s="52"/>
    </row>
    <row r="735" spans="1:35" ht="12">
      <c r="A735" s="80">
        <f>+A733+1</f>
        <v>177</v>
      </c>
      <c r="B735" s="80"/>
      <c r="C735" s="80"/>
      <c r="D735" s="83"/>
      <c r="E735" s="157">
        <v>512</v>
      </c>
      <c r="F735" s="112"/>
      <c r="G735" s="83" t="s">
        <v>572</v>
      </c>
      <c r="H735" s="399">
        <f>196000+400000+560000</f>
        <v>1156000</v>
      </c>
      <c r="I735" s="399">
        <v>500000</v>
      </c>
      <c r="J735" s="399"/>
      <c r="K735" s="417"/>
      <c r="L735" s="386">
        <f>+H735+I735+J735+K735</f>
        <v>1656000</v>
      </c>
      <c r="M735" s="386">
        <v>757418.79</v>
      </c>
      <c r="N735" s="386">
        <v>219316</v>
      </c>
      <c r="O735" s="86"/>
      <c r="P735" s="55"/>
      <c r="Q735" s="86"/>
      <c r="R735" s="437">
        <f>+M735/H735*100</f>
        <v>65.52065657439447</v>
      </c>
      <c r="S735" s="52"/>
      <c r="T735" s="52"/>
      <c r="V735" s="52">
        <f t="shared" si="99"/>
        <v>398581.20999999996</v>
      </c>
      <c r="AI735" s="52"/>
    </row>
    <row r="736" spans="1:35" ht="12">
      <c r="A736" s="80"/>
      <c r="B736" s="80"/>
      <c r="C736" s="80"/>
      <c r="D736" s="83"/>
      <c r="E736" s="157">
        <v>523</v>
      </c>
      <c r="F736" s="112"/>
      <c r="G736" s="83" t="s">
        <v>543</v>
      </c>
      <c r="H736" s="399"/>
      <c r="I736" s="399">
        <f>500000-145000</f>
        <v>355000</v>
      </c>
      <c r="J736" s="399"/>
      <c r="K736" s="399"/>
      <c r="L736" s="386">
        <f>+H736+I736+J736+K736</f>
        <v>355000</v>
      </c>
      <c r="M736" s="386"/>
      <c r="N736" s="386">
        <v>8546</v>
      </c>
      <c r="O736" s="86"/>
      <c r="P736" s="55"/>
      <c r="Q736" s="86"/>
      <c r="R736" s="435"/>
      <c r="S736" s="52"/>
      <c r="T736" s="52"/>
      <c r="V736" s="52">
        <f t="shared" si="99"/>
        <v>0</v>
      </c>
      <c r="AI736" s="52"/>
    </row>
    <row r="737" spans="1:35" ht="12">
      <c r="A737" s="12"/>
      <c r="B737" s="12"/>
      <c r="C737" s="12"/>
      <c r="D737" s="12"/>
      <c r="E737" s="3"/>
      <c r="F737" s="103"/>
      <c r="G737" s="3" t="s">
        <v>822</v>
      </c>
      <c r="H737" s="91">
        <f aca="true" t="shared" si="100" ref="H737:N737">SUM(H721:H736)</f>
        <v>23970000</v>
      </c>
      <c r="I737" s="91">
        <f t="shared" si="100"/>
        <v>13608000</v>
      </c>
      <c r="J737" s="91">
        <f t="shared" si="100"/>
        <v>200000</v>
      </c>
      <c r="K737" s="91">
        <f t="shared" si="100"/>
        <v>0</v>
      </c>
      <c r="L737" s="91">
        <f>SUM(L721:L736)</f>
        <v>37778000</v>
      </c>
      <c r="M737" s="499">
        <f t="shared" si="100"/>
        <v>22447731.009999998</v>
      </c>
      <c r="N737" s="499">
        <f t="shared" si="100"/>
        <v>7497919</v>
      </c>
      <c r="O737" s="130"/>
      <c r="P737" s="61"/>
      <c r="Q737" s="86">
        <f>SUM(Q721:Q736)</f>
        <v>320566.94999999995</v>
      </c>
      <c r="R737" s="435">
        <f>+M737/H737*100</f>
        <v>93.64927413433458</v>
      </c>
      <c r="S737" s="52"/>
      <c r="T737" s="52"/>
      <c r="V737" s="52">
        <f t="shared" si="99"/>
        <v>1201702.0400000028</v>
      </c>
      <c r="Y737" s="52"/>
      <c r="AB737" s="52"/>
      <c r="AI737" s="52"/>
    </row>
    <row r="738" spans="1:35" ht="12">
      <c r="A738" s="148"/>
      <c r="B738" s="13"/>
      <c r="C738" s="13"/>
      <c r="D738" s="13"/>
      <c r="E738" s="15"/>
      <c r="F738" s="105"/>
      <c r="G738" s="39" t="s">
        <v>729</v>
      </c>
      <c r="H738" s="415"/>
      <c r="I738" s="415"/>
      <c r="J738" s="415"/>
      <c r="K738" s="415"/>
      <c r="L738" s="415"/>
      <c r="M738" s="61"/>
      <c r="N738" s="61"/>
      <c r="O738" s="61"/>
      <c r="P738" s="61"/>
      <c r="Q738" s="61"/>
      <c r="R738" s="438"/>
      <c r="S738" s="52"/>
      <c r="T738" s="52"/>
      <c r="V738" s="52">
        <f t="shared" si="99"/>
        <v>0</v>
      </c>
      <c r="AI738" s="52"/>
    </row>
    <row r="739" spans="1:35" ht="12">
      <c r="A739" s="149"/>
      <c r="B739" s="2"/>
      <c r="C739" s="2"/>
      <c r="D739" s="2"/>
      <c r="E739" s="5"/>
      <c r="F739" s="151" t="s">
        <v>73</v>
      </c>
      <c r="G739" s="20" t="s">
        <v>674</v>
      </c>
      <c r="H739" s="10">
        <f>+H737</f>
        <v>23970000</v>
      </c>
      <c r="I739" s="10"/>
      <c r="J739" s="10"/>
      <c r="K739" s="10"/>
      <c r="L739" s="10"/>
      <c r="M739" s="62">
        <f>+M737</f>
        <v>22447731.009999998</v>
      </c>
      <c r="N739" s="62"/>
      <c r="O739" s="62"/>
      <c r="P739" s="62"/>
      <c r="Q739" s="62"/>
      <c r="R739" s="439"/>
      <c r="S739" s="52"/>
      <c r="T739" s="52"/>
      <c r="V739" s="52">
        <f t="shared" si="99"/>
        <v>1522268.990000002</v>
      </c>
      <c r="Z739" s="52"/>
      <c r="AA739" s="52"/>
      <c r="AC739" s="52"/>
      <c r="AD739" s="52"/>
      <c r="AI739" s="52"/>
    </row>
    <row r="740" spans="1:35" ht="12">
      <c r="A740" s="149"/>
      <c r="B740" s="2"/>
      <c r="C740" s="2"/>
      <c r="D740" s="2"/>
      <c r="E740" s="5"/>
      <c r="F740" s="151" t="s">
        <v>57</v>
      </c>
      <c r="G740" s="170" t="s">
        <v>881</v>
      </c>
      <c r="H740" s="10"/>
      <c r="I740" s="10">
        <f>+I737</f>
        <v>13608000</v>
      </c>
      <c r="J740" s="10"/>
      <c r="K740" s="10"/>
      <c r="L740" s="10"/>
      <c r="M740" s="62"/>
      <c r="N740" s="62">
        <f>+N737</f>
        <v>7497919</v>
      </c>
      <c r="O740" s="62"/>
      <c r="P740" s="62"/>
      <c r="Q740" s="62"/>
      <c r="R740" s="439"/>
      <c r="S740" s="52"/>
      <c r="T740" s="52"/>
      <c r="V740" s="52">
        <f t="shared" si="99"/>
        <v>0</v>
      </c>
      <c r="AI740" s="52"/>
    </row>
    <row r="741" spans="1:35" ht="12">
      <c r="A741" s="149"/>
      <c r="B741" s="2"/>
      <c r="C741" s="2"/>
      <c r="D741" s="2"/>
      <c r="E741" s="5"/>
      <c r="F741" s="17" t="s">
        <v>268</v>
      </c>
      <c r="G741" s="20" t="s">
        <v>676</v>
      </c>
      <c r="H741" s="10"/>
      <c r="I741" s="10"/>
      <c r="J741" s="10">
        <f>+J737</f>
        <v>200000</v>
      </c>
      <c r="K741" s="10"/>
      <c r="L741" s="10"/>
      <c r="M741" s="62"/>
      <c r="N741" s="62"/>
      <c r="O741" s="62"/>
      <c r="P741" s="62"/>
      <c r="Q741" s="62"/>
      <c r="R741" s="439"/>
      <c r="S741" s="52"/>
      <c r="T741" s="52"/>
      <c r="V741" s="52">
        <f t="shared" si="99"/>
        <v>0</v>
      </c>
      <c r="AI741" s="52"/>
    </row>
    <row r="742" spans="1:35" ht="12">
      <c r="A742" s="149"/>
      <c r="B742" s="2"/>
      <c r="C742" s="2"/>
      <c r="D742" s="2"/>
      <c r="E742" s="5"/>
      <c r="F742" s="151"/>
      <c r="G742" s="1" t="s">
        <v>730</v>
      </c>
      <c r="H742" s="10"/>
      <c r="I742" s="10"/>
      <c r="J742" s="10"/>
      <c r="K742" s="10"/>
      <c r="L742" s="10">
        <f>+H739+I740+J741</f>
        <v>37778000</v>
      </c>
      <c r="M742" s="62"/>
      <c r="N742" s="62"/>
      <c r="O742" s="62"/>
      <c r="P742" s="62"/>
      <c r="Q742" s="62"/>
      <c r="R742" s="439"/>
      <c r="S742" s="52"/>
      <c r="T742" s="52"/>
      <c r="V742" s="52">
        <f t="shared" si="99"/>
        <v>0</v>
      </c>
      <c r="AI742" s="52"/>
    </row>
    <row r="743" spans="1:35" ht="12">
      <c r="A743" s="149"/>
      <c r="B743" s="2"/>
      <c r="C743" s="2"/>
      <c r="D743" s="2"/>
      <c r="E743" s="5"/>
      <c r="F743" s="151"/>
      <c r="G743" s="1" t="s">
        <v>865</v>
      </c>
      <c r="H743" s="10"/>
      <c r="I743" s="10"/>
      <c r="J743" s="10"/>
      <c r="K743" s="10"/>
      <c r="L743" s="10"/>
      <c r="M743" s="62"/>
      <c r="N743" s="62"/>
      <c r="O743" s="62"/>
      <c r="P743" s="62"/>
      <c r="Q743" s="62"/>
      <c r="R743" s="439"/>
      <c r="S743" s="52"/>
      <c r="T743" s="52"/>
      <c r="V743" s="52">
        <f t="shared" si="99"/>
        <v>0</v>
      </c>
      <c r="AI743" s="52"/>
    </row>
    <row r="744" spans="1:35" ht="12">
      <c r="A744" s="149"/>
      <c r="B744" s="2"/>
      <c r="C744" s="2"/>
      <c r="D744" s="2"/>
      <c r="E744" s="5"/>
      <c r="F744" s="151" t="s">
        <v>73</v>
      </c>
      <c r="G744" s="20" t="s">
        <v>674</v>
      </c>
      <c r="H744" s="10">
        <f>+H739</f>
        <v>23970000</v>
      </c>
      <c r="I744" s="10"/>
      <c r="J744" s="10"/>
      <c r="K744" s="10"/>
      <c r="L744" s="10"/>
      <c r="M744" s="62">
        <f>+M739</f>
        <v>22447731.009999998</v>
      </c>
      <c r="N744" s="62"/>
      <c r="O744" s="62"/>
      <c r="P744" s="62"/>
      <c r="Q744" s="62"/>
      <c r="R744" s="439"/>
      <c r="S744" s="52"/>
      <c r="T744" s="52"/>
      <c r="V744" s="52">
        <f t="shared" si="99"/>
        <v>1522268.990000002</v>
      </c>
      <c r="AI744" s="52"/>
    </row>
    <row r="745" spans="1:35" ht="12">
      <c r="A745" s="149"/>
      <c r="B745" s="2"/>
      <c r="C745" s="2"/>
      <c r="D745" s="2"/>
      <c r="E745" s="5"/>
      <c r="F745" s="151" t="s">
        <v>57</v>
      </c>
      <c r="G745" s="170" t="s">
        <v>881</v>
      </c>
      <c r="H745" s="10"/>
      <c r="I745" s="10">
        <f>+I740</f>
        <v>13608000</v>
      </c>
      <c r="J745" s="10"/>
      <c r="K745" s="10"/>
      <c r="L745" s="10"/>
      <c r="M745" s="62"/>
      <c r="N745" s="62">
        <f>+N740</f>
        <v>7497919</v>
      </c>
      <c r="O745" s="62"/>
      <c r="P745" s="62"/>
      <c r="Q745" s="62"/>
      <c r="R745" s="439"/>
      <c r="S745" s="52"/>
      <c r="T745" s="52"/>
      <c r="V745" s="52">
        <f t="shared" si="99"/>
        <v>0</v>
      </c>
      <c r="AI745" s="52"/>
    </row>
    <row r="746" spans="1:35" ht="12">
      <c r="A746" s="149"/>
      <c r="B746" s="2"/>
      <c r="C746" s="2"/>
      <c r="D746" s="2"/>
      <c r="E746" s="5"/>
      <c r="F746" s="17" t="s">
        <v>268</v>
      </c>
      <c r="G746" s="20" t="s">
        <v>676</v>
      </c>
      <c r="H746" s="10"/>
      <c r="I746" s="10"/>
      <c r="J746" s="10">
        <f>+J741</f>
        <v>200000</v>
      </c>
      <c r="K746" s="10"/>
      <c r="L746" s="10"/>
      <c r="M746" s="62"/>
      <c r="N746" s="62"/>
      <c r="O746" s="62"/>
      <c r="P746" s="62"/>
      <c r="Q746" s="62"/>
      <c r="R746" s="439"/>
      <c r="S746" s="52"/>
      <c r="T746" s="52"/>
      <c r="V746" s="52">
        <f t="shared" si="99"/>
        <v>0</v>
      </c>
      <c r="AI746" s="52"/>
    </row>
    <row r="747" spans="1:35" ht="12">
      <c r="A747" s="150"/>
      <c r="B747" s="40"/>
      <c r="C747" s="40"/>
      <c r="D747" s="40"/>
      <c r="E747" s="19"/>
      <c r="F747" s="123"/>
      <c r="G747" s="90" t="s">
        <v>823</v>
      </c>
      <c r="H747" s="407"/>
      <c r="I747" s="407"/>
      <c r="J747" s="407"/>
      <c r="K747" s="407"/>
      <c r="L747" s="407">
        <f>+H744+I745+J746</f>
        <v>37778000</v>
      </c>
      <c r="M747" s="53"/>
      <c r="N747" s="53"/>
      <c r="O747" s="53"/>
      <c r="P747" s="53"/>
      <c r="Q747" s="53"/>
      <c r="R747" s="543">
        <f>+N745+M744</f>
        <v>29945650.009999998</v>
      </c>
      <c r="S747" s="52"/>
      <c r="T747" s="52"/>
      <c r="V747" s="52">
        <f t="shared" si="99"/>
        <v>0</v>
      </c>
      <c r="AI747" s="52"/>
    </row>
    <row r="748" spans="1:35" ht="12">
      <c r="A748" s="150"/>
      <c r="B748" s="40"/>
      <c r="C748" s="40"/>
      <c r="D748" s="40"/>
      <c r="E748" s="19"/>
      <c r="F748" s="123"/>
      <c r="G748" s="90"/>
      <c r="H748" s="407"/>
      <c r="I748" s="407"/>
      <c r="J748" s="407"/>
      <c r="K748" s="407"/>
      <c r="L748" s="407"/>
      <c r="M748" s="62"/>
      <c r="N748" s="62"/>
      <c r="O748" s="62"/>
      <c r="P748" s="62"/>
      <c r="Q748" s="62"/>
      <c r="R748" s="442"/>
      <c r="S748" s="52"/>
      <c r="T748" s="52"/>
      <c r="V748" s="52">
        <f t="shared" si="99"/>
        <v>0</v>
      </c>
      <c r="AI748" s="52"/>
    </row>
    <row r="749" spans="1:35" ht="12">
      <c r="A749" s="88"/>
      <c r="B749" s="88"/>
      <c r="C749" s="80" t="s">
        <v>112</v>
      </c>
      <c r="D749" s="88"/>
      <c r="E749" s="82"/>
      <c r="F749" s="153"/>
      <c r="G749" s="93" t="s">
        <v>824</v>
      </c>
      <c r="H749" s="399"/>
      <c r="I749" s="399"/>
      <c r="J749" s="399"/>
      <c r="K749" s="399"/>
      <c r="L749" s="399"/>
      <c r="M749" s="86"/>
      <c r="N749" s="86"/>
      <c r="O749" s="86"/>
      <c r="P749" s="86"/>
      <c r="Q749" s="86"/>
      <c r="R749" s="435"/>
      <c r="S749" s="52"/>
      <c r="T749" s="52"/>
      <c r="V749" s="52">
        <f t="shared" si="99"/>
        <v>0</v>
      </c>
      <c r="AI749" s="52"/>
    </row>
    <row r="750" spans="1:35" ht="12">
      <c r="A750" s="80"/>
      <c r="B750" s="80"/>
      <c r="C750" s="535" t="s">
        <v>113</v>
      </c>
      <c r="D750" s="81"/>
      <c r="E750" s="82"/>
      <c r="F750" s="153"/>
      <c r="G750" s="82" t="s">
        <v>895</v>
      </c>
      <c r="H750" s="399"/>
      <c r="I750" s="399"/>
      <c r="J750" s="399"/>
      <c r="K750" s="399"/>
      <c r="L750" s="399"/>
      <c r="M750" s="86"/>
      <c r="N750" s="86"/>
      <c r="O750" s="86"/>
      <c r="P750" s="86"/>
      <c r="Q750" s="86"/>
      <c r="R750" s="435"/>
      <c r="S750" s="52"/>
      <c r="T750" s="52"/>
      <c r="V750" s="52">
        <f t="shared" si="99"/>
        <v>0</v>
      </c>
      <c r="AI750" s="52"/>
    </row>
    <row r="751" spans="1:35" ht="12">
      <c r="A751" s="80"/>
      <c r="B751" s="80"/>
      <c r="C751" s="80"/>
      <c r="D751" s="89">
        <v>620</v>
      </c>
      <c r="E751" s="82"/>
      <c r="F751" s="153"/>
      <c r="G751" s="82" t="s">
        <v>697</v>
      </c>
      <c r="H751" s="399"/>
      <c r="I751" s="399"/>
      <c r="J751" s="399"/>
      <c r="K751" s="399"/>
      <c r="L751" s="399"/>
      <c r="M751" s="86"/>
      <c r="N751" s="86"/>
      <c r="O751" s="86"/>
      <c r="P751" s="86"/>
      <c r="Q751" s="86"/>
      <c r="R751" s="435"/>
      <c r="S751" s="52"/>
      <c r="T751" s="52"/>
      <c r="V751" s="52">
        <f t="shared" si="99"/>
        <v>0</v>
      </c>
      <c r="AI751" s="52"/>
    </row>
    <row r="752" spans="1:35" ht="12">
      <c r="A752" s="80">
        <f>+A735+1</f>
        <v>178</v>
      </c>
      <c r="B752" s="80"/>
      <c r="C752" s="80"/>
      <c r="D752" s="80"/>
      <c r="E752" s="85">
        <v>411</v>
      </c>
      <c r="F752" s="112"/>
      <c r="G752" s="83" t="s">
        <v>683</v>
      </c>
      <c r="H752" s="86">
        <f>15392000+T752</f>
        <v>15316750</v>
      </c>
      <c r="I752" s="399"/>
      <c r="J752" s="399"/>
      <c r="K752" s="399"/>
      <c r="L752" s="399">
        <f aca="true" t="shared" si="101" ref="L752:L764">+H752+I752+J752+K752</f>
        <v>15316750</v>
      </c>
      <c r="M752" s="86">
        <v>14965053.7</v>
      </c>
      <c r="N752" s="86"/>
      <c r="O752" s="86"/>
      <c r="P752" s="86"/>
      <c r="Q752" s="86"/>
      <c r="R752" s="435">
        <f>+M752/H752*100</f>
        <v>97.70384513685997</v>
      </c>
      <c r="S752" s="52"/>
      <c r="T752" s="52">
        <v>-75250</v>
      </c>
      <c r="V752" s="52">
        <f t="shared" si="99"/>
        <v>351696.30000000075</v>
      </c>
      <c r="AI752" s="52"/>
    </row>
    <row r="753" spans="1:35" ht="12">
      <c r="A753" s="80">
        <f aca="true" t="shared" si="102" ref="A753:A762">A752+1</f>
        <v>179</v>
      </c>
      <c r="B753" s="80"/>
      <c r="C753" s="80"/>
      <c r="D753" s="80"/>
      <c r="E753" s="85">
        <v>412</v>
      </c>
      <c r="F753" s="112"/>
      <c r="G753" s="83" t="s">
        <v>551</v>
      </c>
      <c r="H753" s="86">
        <f>2741530</f>
        <v>2741530</v>
      </c>
      <c r="I753" s="399"/>
      <c r="J753" s="399"/>
      <c r="K753" s="399"/>
      <c r="L753" s="399">
        <f t="shared" si="101"/>
        <v>2741530</v>
      </c>
      <c r="M753" s="86">
        <v>2680489.5</v>
      </c>
      <c r="N753" s="86"/>
      <c r="O753" s="86"/>
      <c r="P753" s="86"/>
      <c r="Q753" s="86"/>
      <c r="R753" s="435">
        <f aca="true" t="shared" si="103" ref="R753:R782">+M753/H753*100</f>
        <v>97.7734877969601</v>
      </c>
      <c r="S753" s="52"/>
      <c r="T753" s="52">
        <v>-13470</v>
      </c>
      <c r="V753" s="52">
        <f t="shared" si="99"/>
        <v>61040.5</v>
      </c>
      <c r="AI753" s="52"/>
    </row>
    <row r="754" spans="1:35" ht="12">
      <c r="A754" s="80">
        <f t="shared" si="102"/>
        <v>180</v>
      </c>
      <c r="B754" s="80"/>
      <c r="C754" s="80"/>
      <c r="D754" s="80"/>
      <c r="E754" s="85">
        <v>414</v>
      </c>
      <c r="F754" s="112"/>
      <c r="G754" s="83" t="s">
        <v>552</v>
      </c>
      <c r="H754" s="399">
        <f>100000+T754</f>
        <v>205000</v>
      </c>
      <c r="I754" s="399"/>
      <c r="J754" s="399">
        <v>1000000</v>
      </c>
      <c r="K754" s="399"/>
      <c r="L754" s="399">
        <f t="shared" si="101"/>
        <v>1205000</v>
      </c>
      <c r="M754" s="86">
        <v>202000</v>
      </c>
      <c r="N754" s="86"/>
      <c r="O754" s="86"/>
      <c r="P754" s="86"/>
      <c r="Q754" s="86"/>
      <c r="R754" s="435">
        <f t="shared" si="103"/>
        <v>98.53658536585365</v>
      </c>
      <c r="S754" s="52"/>
      <c r="T754" s="52">
        <f>80000+25000</f>
        <v>105000</v>
      </c>
      <c r="V754" s="52">
        <f t="shared" si="99"/>
        <v>3000</v>
      </c>
      <c r="AI754" s="52"/>
    </row>
    <row r="755" spans="1:35" ht="12">
      <c r="A755" s="80">
        <f t="shared" si="102"/>
        <v>181</v>
      </c>
      <c r="B755" s="80"/>
      <c r="C755" s="80"/>
      <c r="D755" s="80"/>
      <c r="E755" s="85">
        <v>415</v>
      </c>
      <c r="F755" s="112"/>
      <c r="G755" s="83" t="s">
        <v>565</v>
      </c>
      <c r="H755" s="399">
        <v>650000</v>
      </c>
      <c r="I755" s="399"/>
      <c r="J755" s="399"/>
      <c r="K755" s="399"/>
      <c r="L755" s="399">
        <f t="shared" si="101"/>
        <v>650000</v>
      </c>
      <c r="M755" s="86">
        <v>385267.6</v>
      </c>
      <c r="N755" s="86"/>
      <c r="O755" s="86"/>
      <c r="P755" s="86"/>
      <c r="Q755" s="86">
        <v>58255</v>
      </c>
      <c r="R755" s="435">
        <f t="shared" si="103"/>
        <v>59.271938461538454</v>
      </c>
      <c r="S755" s="52"/>
      <c r="T755" s="52"/>
      <c r="V755" s="52">
        <f t="shared" si="99"/>
        <v>206477.40000000002</v>
      </c>
      <c r="AI755" s="52"/>
    </row>
    <row r="756" spans="1:35" ht="12">
      <c r="A756" s="80">
        <f t="shared" si="102"/>
        <v>182</v>
      </c>
      <c r="B756" s="80"/>
      <c r="C756" s="80"/>
      <c r="D756" s="80"/>
      <c r="E756" s="85">
        <v>416</v>
      </c>
      <c r="F756" s="112"/>
      <c r="G756" s="83" t="s">
        <v>547</v>
      </c>
      <c r="H756" s="399">
        <f>+S756</f>
        <v>51165</v>
      </c>
      <c r="I756" s="399"/>
      <c r="J756" s="399"/>
      <c r="K756" s="399"/>
      <c r="L756" s="399">
        <f t="shared" si="101"/>
        <v>51165</v>
      </c>
      <c r="M756" s="86">
        <v>51165</v>
      </c>
      <c r="N756" s="86"/>
      <c r="O756" s="86"/>
      <c r="P756" s="86"/>
      <c r="Q756" s="86"/>
      <c r="R756" s="435">
        <f t="shared" si="103"/>
        <v>100</v>
      </c>
      <c r="S756" s="52">
        <v>51165</v>
      </c>
      <c r="T756" s="52"/>
      <c r="V756" s="52">
        <f t="shared" si="99"/>
        <v>0</v>
      </c>
      <c r="AI756" s="52"/>
    </row>
    <row r="757" spans="1:35" ht="12">
      <c r="A757" s="80">
        <f t="shared" si="102"/>
        <v>183</v>
      </c>
      <c r="B757" s="80"/>
      <c r="C757" s="80"/>
      <c r="D757" s="80"/>
      <c r="E757" s="85">
        <v>421</v>
      </c>
      <c r="F757" s="112"/>
      <c r="G757" s="83" t="s">
        <v>567</v>
      </c>
      <c r="H757" s="399">
        <f>2125000+T757</f>
        <v>2020000</v>
      </c>
      <c r="I757" s="399"/>
      <c r="J757" s="399"/>
      <c r="K757" s="399"/>
      <c r="L757" s="399">
        <f t="shared" si="101"/>
        <v>2020000</v>
      </c>
      <c r="M757" s="86">
        <v>1144008.68</v>
      </c>
      <c r="N757" s="86"/>
      <c r="O757" s="86"/>
      <c r="P757" s="86"/>
      <c r="Q757" s="86">
        <v>96703.63</v>
      </c>
      <c r="R757" s="435">
        <f t="shared" si="103"/>
        <v>56.63409306930692</v>
      </c>
      <c r="S757" s="52"/>
      <c r="T757" s="52">
        <f>-80000-25000</f>
        <v>-105000</v>
      </c>
      <c r="V757" s="52">
        <f t="shared" si="99"/>
        <v>779287.69</v>
      </c>
      <c r="AI757" s="52"/>
    </row>
    <row r="758" spans="1:35" ht="12">
      <c r="A758" s="80">
        <f t="shared" si="102"/>
        <v>184</v>
      </c>
      <c r="B758" s="80"/>
      <c r="C758" s="80"/>
      <c r="D758" s="80"/>
      <c r="E758" s="85">
        <v>422</v>
      </c>
      <c r="F758" s="112"/>
      <c r="G758" s="83" t="s">
        <v>569</v>
      </c>
      <c r="H758" s="399">
        <f>80000+T758</f>
        <v>76000</v>
      </c>
      <c r="I758" s="399"/>
      <c r="J758" s="399"/>
      <c r="K758" s="399"/>
      <c r="L758" s="399">
        <f t="shared" si="101"/>
        <v>76000</v>
      </c>
      <c r="M758" s="86">
        <v>32764</v>
      </c>
      <c r="N758" s="386"/>
      <c r="O758" s="86"/>
      <c r="P758" s="86"/>
      <c r="Q758" s="86"/>
      <c r="R758" s="435">
        <f t="shared" si="103"/>
        <v>43.11052631578947</v>
      </c>
      <c r="S758" s="52"/>
      <c r="T758" s="52">
        <v>-4000</v>
      </c>
      <c r="V758" s="52">
        <f t="shared" si="99"/>
        <v>43236</v>
      </c>
      <c r="AI758" s="52"/>
    </row>
    <row r="759" spans="1:35" ht="12">
      <c r="A759" s="80">
        <f t="shared" si="102"/>
        <v>185</v>
      </c>
      <c r="B759" s="80"/>
      <c r="C759" s="80"/>
      <c r="D759" s="80"/>
      <c r="E759" s="85">
        <v>423</v>
      </c>
      <c r="F759" s="112"/>
      <c r="G759" s="83" t="s">
        <v>539</v>
      </c>
      <c r="H759" s="399">
        <f>1102000+846000+S759+T759</f>
        <v>2401640</v>
      </c>
      <c r="I759" s="399"/>
      <c r="J759" s="399">
        <v>153888</v>
      </c>
      <c r="K759" s="399"/>
      <c r="L759" s="399">
        <f t="shared" si="101"/>
        <v>2555528</v>
      </c>
      <c r="M759" s="86">
        <v>1396311.54</v>
      </c>
      <c r="N759" s="55"/>
      <c r="O759" s="86">
        <v>153888</v>
      </c>
      <c r="P759" s="86"/>
      <c r="Q759" s="86">
        <v>232708.7</v>
      </c>
      <c r="R759" s="435">
        <f t="shared" si="103"/>
        <v>58.13991855565364</v>
      </c>
      <c r="S759" s="52">
        <v>33640</v>
      </c>
      <c r="T759" s="52">
        <f>20000+400000</f>
        <v>420000</v>
      </c>
      <c r="V759" s="52">
        <f t="shared" si="99"/>
        <v>772619.76</v>
      </c>
      <c r="AI759" s="52"/>
    </row>
    <row r="760" spans="1:35" ht="12">
      <c r="A760" s="80">
        <f t="shared" si="102"/>
        <v>186</v>
      </c>
      <c r="B760" s="80"/>
      <c r="C760" s="80"/>
      <c r="D760" s="80"/>
      <c r="E760" s="85">
        <v>424</v>
      </c>
      <c r="F760" s="112"/>
      <c r="G760" s="83" t="s">
        <v>554</v>
      </c>
      <c r="H760" s="399">
        <f>250000+50000+S760</f>
        <v>427000</v>
      </c>
      <c r="I760" s="399"/>
      <c r="J760" s="399"/>
      <c r="K760" s="399"/>
      <c r="L760" s="399">
        <f t="shared" si="101"/>
        <v>427000</v>
      </c>
      <c r="M760" s="86">
        <v>362268.38</v>
      </c>
      <c r="N760" s="55"/>
      <c r="O760" s="86"/>
      <c r="P760" s="86"/>
      <c r="Q760" s="86">
        <v>7000</v>
      </c>
      <c r="R760" s="435">
        <f t="shared" si="103"/>
        <v>84.84037002341921</v>
      </c>
      <c r="S760" s="52">
        <f>7000+120000</f>
        <v>127000</v>
      </c>
      <c r="T760" s="52"/>
      <c r="V760" s="52">
        <f t="shared" si="99"/>
        <v>57731.619999999995</v>
      </c>
      <c r="AI760" s="52"/>
    </row>
    <row r="761" spans="1:35" ht="12">
      <c r="A761" s="80">
        <f t="shared" si="102"/>
        <v>187</v>
      </c>
      <c r="B761" s="80"/>
      <c r="C761" s="80"/>
      <c r="D761" s="80"/>
      <c r="E761" s="85">
        <v>425</v>
      </c>
      <c r="F761" s="112"/>
      <c r="G761" s="83" t="s">
        <v>540</v>
      </c>
      <c r="H761" s="399">
        <f>320000+T761</f>
        <v>304000</v>
      </c>
      <c r="I761" s="399"/>
      <c r="J761" s="399"/>
      <c r="K761" s="399"/>
      <c r="L761" s="399">
        <f t="shared" si="101"/>
        <v>304000</v>
      </c>
      <c r="M761" s="86">
        <v>155562.8</v>
      </c>
      <c r="N761" s="55"/>
      <c r="O761" s="86"/>
      <c r="P761" s="86"/>
      <c r="Q761" s="86">
        <v>32502</v>
      </c>
      <c r="R761" s="435">
        <f t="shared" si="103"/>
        <v>51.17197368421053</v>
      </c>
      <c r="S761" s="52"/>
      <c r="T761" s="52">
        <v>-16000</v>
      </c>
      <c r="V761" s="52">
        <f t="shared" si="99"/>
        <v>115935.20000000001</v>
      </c>
      <c r="AI761" s="52"/>
    </row>
    <row r="762" spans="1:35" ht="12">
      <c r="A762" s="80">
        <f t="shared" si="102"/>
        <v>188</v>
      </c>
      <c r="B762" s="80"/>
      <c r="C762" s="80"/>
      <c r="D762" s="80"/>
      <c r="E762" s="85">
        <v>426</v>
      </c>
      <c r="F762" s="112"/>
      <c r="G762" s="83" t="s">
        <v>530</v>
      </c>
      <c r="H762" s="399">
        <f>200000+50000</f>
        <v>250000</v>
      </c>
      <c r="I762" s="399"/>
      <c r="J762" s="399"/>
      <c r="K762" s="414"/>
      <c r="L762" s="414">
        <f t="shared" si="101"/>
        <v>250000</v>
      </c>
      <c r="M762" s="86">
        <v>207730.2</v>
      </c>
      <c r="N762" s="55"/>
      <c r="O762" s="86"/>
      <c r="P762" s="86"/>
      <c r="Q762" s="86">
        <v>3270</v>
      </c>
      <c r="R762" s="436">
        <f t="shared" si="103"/>
        <v>83.09208</v>
      </c>
      <c r="S762" s="52"/>
      <c r="T762" s="52"/>
      <c r="V762" s="52">
        <f t="shared" si="99"/>
        <v>38999.79999999999</v>
      </c>
      <c r="AI762" s="52"/>
    </row>
    <row r="763" spans="1:22" s="97" customFormat="1" ht="12">
      <c r="A763" s="128" t="s">
        <v>434</v>
      </c>
      <c r="B763" s="109"/>
      <c r="C763" s="128"/>
      <c r="D763" s="109"/>
      <c r="E763" s="152" t="s">
        <v>435</v>
      </c>
      <c r="F763" s="114"/>
      <c r="G763" s="523" t="s">
        <v>558</v>
      </c>
      <c r="H763" s="525">
        <f>+S763+T763</f>
        <v>89720</v>
      </c>
      <c r="I763" s="526"/>
      <c r="J763" s="527"/>
      <c r="K763" s="527"/>
      <c r="L763" s="414">
        <f t="shared" si="101"/>
        <v>89720</v>
      </c>
      <c r="M763" s="537">
        <v>88714.5</v>
      </c>
      <c r="N763" s="530"/>
      <c r="O763" s="529"/>
      <c r="P763" s="529"/>
      <c r="Q763" s="529"/>
      <c r="R763" s="436">
        <f t="shared" si="103"/>
        <v>98.87929112795364</v>
      </c>
      <c r="S763" s="528">
        <v>1000</v>
      </c>
      <c r="T763" s="528">
        <v>88720</v>
      </c>
      <c r="V763" s="52">
        <f t="shared" si="99"/>
        <v>1005.5</v>
      </c>
    </row>
    <row r="764" spans="1:35" ht="12">
      <c r="A764" s="126">
        <f>A762+1</f>
        <v>189</v>
      </c>
      <c r="B764" s="24"/>
      <c r="C764" s="126"/>
      <c r="D764" s="24"/>
      <c r="E764" s="127">
        <v>482</v>
      </c>
      <c r="F764" s="109"/>
      <c r="G764" s="129" t="s">
        <v>541</v>
      </c>
      <c r="H764" s="414">
        <f>100000+50000</f>
        <v>150000</v>
      </c>
      <c r="I764" s="415"/>
      <c r="J764" s="416"/>
      <c r="K764" s="416"/>
      <c r="L764" s="414">
        <f t="shared" si="101"/>
        <v>150000</v>
      </c>
      <c r="M764" s="393">
        <v>149517.97</v>
      </c>
      <c r="N764" s="62"/>
      <c r="O764" s="393"/>
      <c r="P764" s="434"/>
      <c r="Q764" s="434"/>
      <c r="R764" s="436">
        <f t="shared" si="103"/>
        <v>99.67864666666667</v>
      </c>
      <c r="S764" s="52"/>
      <c r="T764" s="52"/>
      <c r="V764" s="52">
        <f t="shared" si="99"/>
        <v>482.02999999999884</v>
      </c>
      <c r="AI764" s="52"/>
    </row>
    <row r="765" spans="1:35" ht="12">
      <c r="A765" s="131"/>
      <c r="B765" s="25"/>
      <c r="C765" s="131"/>
      <c r="D765" s="25"/>
      <c r="E765" s="132"/>
      <c r="F765" s="21"/>
      <c r="G765" s="134" t="s">
        <v>604</v>
      </c>
      <c r="H765" s="417"/>
      <c r="I765" s="407"/>
      <c r="J765" s="418"/>
      <c r="K765" s="418"/>
      <c r="L765" s="417"/>
      <c r="M765" s="393"/>
      <c r="N765" s="62"/>
      <c r="O765" s="393"/>
      <c r="P765" s="434"/>
      <c r="Q765" s="434"/>
      <c r="R765" s="437"/>
      <c r="S765" s="52"/>
      <c r="T765" s="52"/>
      <c r="V765" s="52">
        <f t="shared" si="99"/>
        <v>0</v>
      </c>
      <c r="AI765" s="52"/>
    </row>
    <row r="766" spans="1:35" ht="12">
      <c r="A766" s="80">
        <f>A764+1</f>
        <v>190</v>
      </c>
      <c r="B766" s="80"/>
      <c r="C766" s="80"/>
      <c r="D766" s="80"/>
      <c r="E766" s="85">
        <v>512</v>
      </c>
      <c r="F766" s="112"/>
      <c r="G766" s="83" t="s">
        <v>572</v>
      </c>
      <c r="H766" s="399">
        <f>100000-20000+S766</f>
        <v>150000</v>
      </c>
      <c r="I766" s="399"/>
      <c r="J766" s="399"/>
      <c r="K766" s="417"/>
      <c r="L766" s="386">
        <f>+H766+I766+J766+K766</f>
        <v>150000</v>
      </c>
      <c r="M766" s="86">
        <v>73792.4</v>
      </c>
      <c r="N766" s="55"/>
      <c r="O766" s="86"/>
      <c r="P766" s="86"/>
      <c r="Q766" s="86"/>
      <c r="R766" s="437">
        <f t="shared" si="103"/>
        <v>49.19493333333333</v>
      </c>
      <c r="S766" s="52">
        <v>70000</v>
      </c>
      <c r="T766" s="52"/>
      <c r="V766" s="52">
        <f t="shared" si="99"/>
        <v>76207.6</v>
      </c>
      <c r="AI766" s="52"/>
    </row>
    <row r="767" spans="1:35" ht="12">
      <c r="A767" s="80">
        <v>190</v>
      </c>
      <c r="B767" s="80">
        <v>1</v>
      </c>
      <c r="C767" s="80"/>
      <c r="D767" s="80"/>
      <c r="E767" s="85">
        <v>511</v>
      </c>
      <c r="F767" s="112"/>
      <c r="G767" s="31" t="s">
        <v>805</v>
      </c>
      <c r="H767" s="399">
        <v>478440</v>
      </c>
      <c r="I767" s="399"/>
      <c r="J767" s="399"/>
      <c r="K767" s="417"/>
      <c r="L767" s="386">
        <f>H767</f>
        <v>478440</v>
      </c>
      <c r="M767" s="86">
        <v>247500</v>
      </c>
      <c r="N767" s="55"/>
      <c r="O767" s="86"/>
      <c r="P767" s="86"/>
      <c r="Q767" s="86"/>
      <c r="R767" s="437">
        <f t="shared" si="103"/>
        <v>51.730624529721595</v>
      </c>
      <c r="S767" s="52"/>
      <c r="T767" s="52"/>
      <c r="V767" s="52">
        <f t="shared" si="99"/>
        <v>230940</v>
      </c>
      <c r="AI767" s="52"/>
    </row>
    <row r="768" spans="1:35" ht="12">
      <c r="A768" s="26"/>
      <c r="B768" s="26"/>
      <c r="C768" s="26"/>
      <c r="D768" s="26"/>
      <c r="E768" s="31"/>
      <c r="F768" s="122"/>
      <c r="G768" s="31" t="s">
        <v>825</v>
      </c>
      <c r="H768" s="91">
        <f>SUM(H752:H767)</f>
        <v>25311245</v>
      </c>
      <c r="I768" s="91">
        <f aca="true" t="shared" si="104" ref="I768:Q768">SUM(I752:I766)</f>
        <v>0</v>
      </c>
      <c r="J768" s="91">
        <f t="shared" si="104"/>
        <v>1153888</v>
      </c>
      <c r="K768" s="91">
        <f t="shared" si="104"/>
        <v>0</v>
      </c>
      <c r="L768" s="91">
        <f>SUM(L752:L767)</f>
        <v>26465133</v>
      </c>
      <c r="M768" s="91">
        <f>SUM(M752:M767)</f>
        <v>22142146.269999996</v>
      </c>
      <c r="N768" s="534"/>
      <c r="O768" s="91">
        <f>SUM(O752:O766)</f>
        <v>153888</v>
      </c>
      <c r="P768" s="399">
        <f t="shared" si="104"/>
        <v>0</v>
      </c>
      <c r="Q768" s="399">
        <f t="shared" si="104"/>
        <v>430439.33</v>
      </c>
      <c r="R768" s="435">
        <f t="shared" si="103"/>
        <v>87.47948301239231</v>
      </c>
      <c r="S768" s="52"/>
      <c r="T768" s="52"/>
      <c r="V768" s="52">
        <f t="shared" si="99"/>
        <v>2738659.400000006</v>
      </c>
      <c r="AI768" s="52"/>
    </row>
    <row r="769" spans="1:35" ht="12">
      <c r="A769" s="80"/>
      <c r="B769" s="80"/>
      <c r="C769" s="80"/>
      <c r="D769" s="80"/>
      <c r="E769" s="83"/>
      <c r="F769" s="142"/>
      <c r="G769" s="83"/>
      <c r="H769" s="399"/>
      <c r="I769" s="399"/>
      <c r="J769" s="399"/>
      <c r="K769" s="399"/>
      <c r="L769" s="399"/>
      <c r="M769" s="86"/>
      <c r="N769" s="55"/>
      <c r="O769" s="86"/>
      <c r="P769" s="86"/>
      <c r="Q769" s="86"/>
      <c r="R769" s="435"/>
      <c r="S769" s="52"/>
      <c r="T769" s="52"/>
      <c r="V769" s="52">
        <f t="shared" si="99"/>
        <v>0</v>
      </c>
      <c r="AI769" s="52"/>
    </row>
    <row r="770" spans="1:35" ht="12">
      <c r="A770" s="80"/>
      <c r="B770" s="80"/>
      <c r="C770" s="80" t="s">
        <v>114</v>
      </c>
      <c r="D770" s="80"/>
      <c r="E770" s="83"/>
      <c r="F770" s="142"/>
      <c r="G770" s="82" t="s">
        <v>896</v>
      </c>
      <c r="H770" s="399"/>
      <c r="I770" s="399"/>
      <c r="J770" s="399"/>
      <c r="K770" s="399"/>
      <c r="L770" s="399"/>
      <c r="M770" s="86"/>
      <c r="N770" s="386"/>
      <c r="O770" s="386"/>
      <c r="P770" s="86"/>
      <c r="Q770" s="86"/>
      <c r="R770" s="435"/>
      <c r="S770" s="52"/>
      <c r="T770" s="52"/>
      <c r="V770" s="52">
        <f t="shared" si="99"/>
        <v>0</v>
      </c>
      <c r="AI770" s="52"/>
    </row>
    <row r="771" spans="1:35" ht="12">
      <c r="A771" s="80"/>
      <c r="B771" s="80"/>
      <c r="C771" s="80"/>
      <c r="D771" s="89">
        <v>640</v>
      </c>
      <c r="E771" s="83"/>
      <c r="F771" s="142"/>
      <c r="G771" s="82" t="s">
        <v>759</v>
      </c>
      <c r="H771" s="399"/>
      <c r="I771" s="399"/>
      <c r="J771" s="399"/>
      <c r="K771" s="399"/>
      <c r="L771" s="399"/>
      <c r="M771" s="86"/>
      <c r="N771" s="86"/>
      <c r="O771" s="86"/>
      <c r="P771" s="86"/>
      <c r="Q771" s="86"/>
      <c r="R771" s="435"/>
      <c r="S771" s="52"/>
      <c r="T771" s="52"/>
      <c r="V771" s="52">
        <f t="shared" si="99"/>
        <v>0</v>
      </c>
      <c r="AI771" s="52"/>
    </row>
    <row r="772" spans="1:35" ht="12">
      <c r="A772" s="80">
        <f>+A766+1</f>
        <v>191</v>
      </c>
      <c r="B772" s="80"/>
      <c r="C772" s="80"/>
      <c r="D772" s="89"/>
      <c r="E772" s="85">
        <v>425</v>
      </c>
      <c r="F772" s="112"/>
      <c r="G772" s="83" t="s">
        <v>615</v>
      </c>
      <c r="H772" s="399">
        <f>4700000+1000000</f>
        <v>5700000</v>
      </c>
      <c r="I772" s="399"/>
      <c r="J772" s="399"/>
      <c r="K772" s="399"/>
      <c r="L772" s="386">
        <f>+H772+I772+J772+K772</f>
        <v>5700000</v>
      </c>
      <c r="M772" s="86">
        <v>4372250.77</v>
      </c>
      <c r="N772" s="86"/>
      <c r="O772" s="86"/>
      <c r="P772" s="86"/>
      <c r="Q772" s="86">
        <v>189900.41</v>
      </c>
      <c r="R772" s="435">
        <f t="shared" si="103"/>
        <v>76.70615385964912</v>
      </c>
      <c r="S772" s="52"/>
      <c r="T772" s="52"/>
      <c r="V772" s="52">
        <f t="shared" si="99"/>
        <v>1137848.8200000003</v>
      </c>
      <c r="AI772" s="52"/>
    </row>
    <row r="773" spans="1:35" ht="12">
      <c r="A773" s="80">
        <f>A772+1</f>
        <v>192</v>
      </c>
      <c r="B773" s="80"/>
      <c r="C773" s="80"/>
      <c r="D773" s="89"/>
      <c r="E773" s="85">
        <v>5112</v>
      </c>
      <c r="F773" s="112"/>
      <c r="G773" s="83" t="s">
        <v>806</v>
      </c>
      <c r="H773" s="399">
        <f>1000000+900000.4+S773</f>
        <v>2038098.7999999998</v>
      </c>
      <c r="I773" s="399"/>
      <c r="J773" s="399"/>
      <c r="K773" s="399"/>
      <c r="L773" s="386">
        <f>+H773+I773+J773+K773</f>
        <v>2038098.7999999998</v>
      </c>
      <c r="M773" s="86">
        <v>1123133.82</v>
      </c>
      <c r="N773" s="86"/>
      <c r="O773" s="86"/>
      <c r="P773" s="86"/>
      <c r="Q773" s="86">
        <v>516067.37</v>
      </c>
      <c r="R773" s="435">
        <f t="shared" si="103"/>
        <v>55.106936915914</v>
      </c>
      <c r="S773" s="52">
        <v>138098.4</v>
      </c>
      <c r="T773" s="52"/>
      <c r="V773" s="52">
        <f t="shared" si="99"/>
        <v>398897.60999999987</v>
      </c>
      <c r="AI773" s="52"/>
    </row>
    <row r="774" spans="1:35" ht="12">
      <c r="A774" s="12"/>
      <c r="B774" s="12"/>
      <c r="C774" s="12"/>
      <c r="D774" s="12"/>
      <c r="E774" s="3"/>
      <c r="F774" s="103"/>
      <c r="G774" s="31" t="s">
        <v>826</v>
      </c>
      <c r="H774" s="91">
        <f>SUM(H772:H773)</f>
        <v>7738098.8</v>
      </c>
      <c r="I774" s="91">
        <f aca="true" t="shared" si="105" ref="I774:Q774">SUM(I772:I773)</f>
        <v>0</v>
      </c>
      <c r="J774" s="91">
        <f t="shared" si="105"/>
        <v>0</v>
      </c>
      <c r="K774" s="91">
        <f t="shared" si="105"/>
        <v>0</v>
      </c>
      <c r="L774" s="91">
        <f t="shared" si="105"/>
        <v>7738098.8</v>
      </c>
      <c r="M774" s="91">
        <f t="shared" si="105"/>
        <v>5495384.59</v>
      </c>
      <c r="N774" s="91"/>
      <c r="O774" s="399">
        <f>SUM(O772:O773)</f>
        <v>0</v>
      </c>
      <c r="P774" s="399">
        <f t="shared" si="105"/>
        <v>0</v>
      </c>
      <c r="Q774" s="399">
        <f t="shared" si="105"/>
        <v>705967.78</v>
      </c>
      <c r="R774" s="435">
        <f t="shared" si="103"/>
        <v>71.01724508867734</v>
      </c>
      <c r="S774" s="52"/>
      <c r="T774" s="52"/>
      <c r="V774" s="52">
        <f t="shared" si="99"/>
        <v>1536746.4299999997</v>
      </c>
      <c r="AI774" s="52"/>
    </row>
    <row r="775" spans="1:35" ht="12">
      <c r="A775" s="80"/>
      <c r="B775" s="80"/>
      <c r="C775" s="80" t="s">
        <v>115</v>
      </c>
      <c r="D775" s="88"/>
      <c r="E775" s="85"/>
      <c r="F775" s="112"/>
      <c r="G775" s="82" t="s">
        <v>897</v>
      </c>
      <c r="H775" s="399"/>
      <c r="I775" s="399"/>
      <c r="J775" s="399"/>
      <c r="K775" s="399"/>
      <c r="L775" s="399"/>
      <c r="M775" s="86"/>
      <c r="N775" s="86"/>
      <c r="O775" s="86"/>
      <c r="P775" s="86"/>
      <c r="Q775" s="86"/>
      <c r="R775" s="435"/>
      <c r="S775" s="52"/>
      <c r="T775" s="52"/>
      <c r="V775" s="52">
        <f t="shared" si="99"/>
        <v>0</v>
      </c>
      <c r="AI775" s="52"/>
    </row>
    <row r="776" spans="1:35" ht="12">
      <c r="A776" s="80"/>
      <c r="B776" s="80"/>
      <c r="C776" s="80"/>
      <c r="D776" s="89">
        <v>620</v>
      </c>
      <c r="E776" s="85"/>
      <c r="F776" s="112"/>
      <c r="G776" s="82" t="s">
        <v>697</v>
      </c>
      <c r="H776" s="399"/>
      <c r="I776" s="399"/>
      <c r="J776" s="399"/>
      <c r="K776" s="399"/>
      <c r="L776" s="399"/>
      <c r="M776" s="86"/>
      <c r="N776" s="86"/>
      <c r="O776" s="86"/>
      <c r="P776" s="86"/>
      <c r="Q776" s="86"/>
      <c r="R776" s="435"/>
      <c r="S776" s="52"/>
      <c r="T776" s="52"/>
      <c r="V776" s="52">
        <f t="shared" si="99"/>
        <v>0</v>
      </c>
      <c r="AI776" s="52"/>
    </row>
    <row r="777" spans="1:35" ht="12">
      <c r="A777" s="80">
        <f>A773+1</f>
        <v>193</v>
      </c>
      <c r="B777" s="80"/>
      <c r="C777" s="80"/>
      <c r="D777" s="89"/>
      <c r="E777" s="85">
        <v>425</v>
      </c>
      <c r="F777" s="112"/>
      <c r="G777" s="83" t="s">
        <v>540</v>
      </c>
      <c r="H777" s="399">
        <f>34317000+S777+T777</f>
        <v>34217000</v>
      </c>
      <c r="I777" s="399"/>
      <c r="J777" s="399">
        <v>327918</v>
      </c>
      <c r="K777" s="399"/>
      <c r="L777" s="386">
        <f>+H777+I777+J777+K777</f>
        <v>34544918</v>
      </c>
      <c r="M777" s="86">
        <v>17619846.19</v>
      </c>
      <c r="N777" s="86"/>
      <c r="O777" s="86">
        <v>327918</v>
      </c>
      <c r="P777" s="86"/>
      <c r="Q777" s="86">
        <v>13391542.69</v>
      </c>
      <c r="R777" s="435">
        <f t="shared" si="103"/>
        <v>51.49442145717041</v>
      </c>
      <c r="S777" s="52">
        <v>300000</v>
      </c>
      <c r="T777" s="52">
        <v>-400000</v>
      </c>
      <c r="V777" s="52">
        <f t="shared" si="99"/>
        <v>3205611.1199999973</v>
      </c>
      <c r="AI777" s="52"/>
    </row>
    <row r="778" spans="1:35" ht="12">
      <c r="A778" s="80">
        <v>194</v>
      </c>
      <c r="B778" s="80"/>
      <c r="C778" s="80"/>
      <c r="D778" s="89"/>
      <c r="E778" s="85">
        <v>400</v>
      </c>
      <c r="F778" s="112"/>
      <c r="G778" s="83" t="s">
        <v>882</v>
      </c>
      <c r="H778" s="399">
        <v>2100000</v>
      </c>
      <c r="I778" s="399"/>
      <c r="J778" s="399"/>
      <c r="K778" s="399"/>
      <c r="L778" s="386">
        <f>+H778+I778+J778+K778</f>
        <v>2100000</v>
      </c>
      <c r="M778" s="86">
        <v>984977.28</v>
      </c>
      <c r="N778" s="86"/>
      <c r="O778" s="86"/>
      <c r="P778" s="86"/>
      <c r="Q778" s="86"/>
      <c r="R778" s="435">
        <f t="shared" si="103"/>
        <v>46.90368</v>
      </c>
      <c r="S778" s="52"/>
      <c r="T778" s="52"/>
      <c r="V778" s="52">
        <f t="shared" si="99"/>
        <v>1115022.72</v>
      </c>
      <c r="AI778" s="52"/>
    </row>
    <row r="779" spans="1:35" ht="12">
      <c r="A779" s="80" t="s">
        <v>424</v>
      </c>
      <c r="B779" s="80"/>
      <c r="C779" s="80"/>
      <c r="D779" s="89"/>
      <c r="E779" s="85">
        <v>510</v>
      </c>
      <c r="F779" s="112"/>
      <c r="G779" s="83" t="s">
        <v>898</v>
      </c>
      <c r="H779" s="399">
        <v>2900000</v>
      </c>
      <c r="I779" s="399"/>
      <c r="J779" s="399"/>
      <c r="K779" s="399"/>
      <c r="L779" s="386">
        <f>+H779+I779+J779+K779</f>
        <v>2900000</v>
      </c>
      <c r="M779" s="86">
        <v>1896439.2</v>
      </c>
      <c r="N779" s="86"/>
      <c r="O779" s="86"/>
      <c r="P779" s="86"/>
      <c r="Q779" s="86"/>
      <c r="R779" s="435">
        <f t="shared" si="103"/>
        <v>65.39445517241379</v>
      </c>
      <c r="S779" s="52"/>
      <c r="T779" s="52"/>
      <c r="V779" s="52">
        <f t="shared" si="99"/>
        <v>1003560.8</v>
      </c>
      <c r="AI779" s="52"/>
    </row>
    <row r="780" spans="1:35" ht="12">
      <c r="A780" s="80">
        <v>195</v>
      </c>
      <c r="B780" s="80"/>
      <c r="C780" s="80"/>
      <c r="D780" s="89"/>
      <c r="E780" s="85">
        <v>511</v>
      </c>
      <c r="F780" s="112"/>
      <c r="G780" s="83" t="s">
        <v>534</v>
      </c>
      <c r="H780" s="399">
        <f>19000000-408440+S780</f>
        <v>19367360</v>
      </c>
      <c r="I780" s="399"/>
      <c r="J780" s="399">
        <v>2400000</v>
      </c>
      <c r="K780" s="399"/>
      <c r="L780" s="386">
        <f>+H780+I780+J780+K780</f>
        <v>21767360</v>
      </c>
      <c r="M780" s="86">
        <v>12770902.89</v>
      </c>
      <c r="N780" s="86"/>
      <c r="O780" s="86">
        <v>2396208</v>
      </c>
      <c r="P780" s="86"/>
      <c r="Q780" s="86">
        <v>5193655.1</v>
      </c>
      <c r="R780" s="435">
        <f t="shared" si="103"/>
        <v>65.94033926152042</v>
      </c>
      <c r="S780" s="52">
        <f>297360+478440</f>
        <v>775800</v>
      </c>
      <c r="T780" s="52"/>
      <c r="V780" s="52">
        <f t="shared" si="99"/>
        <v>1402802.009999998</v>
      </c>
      <c r="AI780" s="52"/>
    </row>
    <row r="781" spans="1:35" ht="12">
      <c r="A781" s="12"/>
      <c r="B781" s="12"/>
      <c r="C781" s="12"/>
      <c r="D781" s="12"/>
      <c r="E781" s="3"/>
      <c r="F781" s="103"/>
      <c r="G781" s="31" t="s">
        <v>827</v>
      </c>
      <c r="H781" s="399">
        <f>SUM(H777:H780)</f>
        <v>58584360</v>
      </c>
      <c r="I781" s="399">
        <f>SUM(I777:I780)</f>
        <v>0</v>
      </c>
      <c r="J781" s="399">
        <f>SUM(J777:J780)</f>
        <v>2727918</v>
      </c>
      <c r="K781" s="399"/>
      <c r="L781" s="386">
        <f>+H781+I781+J781+K781</f>
        <v>61312278</v>
      </c>
      <c r="M781" s="419">
        <f>SUM(M777:M780)</f>
        <v>33272165.560000002</v>
      </c>
      <c r="N781" s="419"/>
      <c r="O781" s="86">
        <f>+SUM(O777:O780)</f>
        <v>2724126</v>
      </c>
      <c r="P781" s="86"/>
      <c r="Q781" s="86">
        <f>SUM(Q777:Q780)</f>
        <v>18585197.79</v>
      </c>
      <c r="R781" s="435">
        <f t="shared" si="103"/>
        <v>56.793597403812214</v>
      </c>
      <c r="S781" s="52"/>
      <c r="T781" s="52"/>
      <c r="V781" s="52">
        <f t="shared" si="99"/>
        <v>6726996.6499999985</v>
      </c>
      <c r="AI781" s="52"/>
    </row>
    <row r="782" spans="1:35" ht="12">
      <c r="A782" s="12"/>
      <c r="B782" s="12"/>
      <c r="C782" s="12"/>
      <c r="D782" s="12"/>
      <c r="E782" s="3"/>
      <c r="F782" s="103"/>
      <c r="G782" s="48" t="s">
        <v>828</v>
      </c>
      <c r="H782" s="91">
        <f aca="true" t="shared" si="106" ref="H782:M782">+H768+H774+H781</f>
        <v>91633703.8</v>
      </c>
      <c r="I782" s="91">
        <f t="shared" si="106"/>
        <v>0</v>
      </c>
      <c r="J782" s="91">
        <f>+J768+J774+J781</f>
        <v>3881806</v>
      </c>
      <c r="K782" s="91">
        <f t="shared" si="106"/>
        <v>0</v>
      </c>
      <c r="L782" s="91">
        <f>+L768+L774+L781</f>
        <v>95515509.8</v>
      </c>
      <c r="M782" s="508">
        <f t="shared" si="106"/>
        <v>60909696.42</v>
      </c>
      <c r="N782" s="508"/>
      <c r="O782" s="508">
        <f>+O768+O774+O781</f>
        <v>2878014</v>
      </c>
      <c r="P782" s="130"/>
      <c r="Q782" s="130">
        <f>+Q768+Q774+Q781</f>
        <v>19721604.9</v>
      </c>
      <c r="R782" s="435">
        <f t="shared" si="103"/>
        <v>66.47084412624169</v>
      </c>
      <c r="S782" s="52"/>
      <c r="T782" s="52"/>
      <c r="V782" s="52">
        <f t="shared" si="99"/>
        <v>11002402.480000004</v>
      </c>
      <c r="AB782" s="52"/>
      <c r="AI782" s="52"/>
    </row>
    <row r="783" spans="1:35" ht="12">
      <c r="A783" s="148"/>
      <c r="B783" s="13"/>
      <c r="C783" s="13"/>
      <c r="D783" s="13"/>
      <c r="E783" s="15"/>
      <c r="F783" s="105"/>
      <c r="G783" s="39" t="s">
        <v>707</v>
      </c>
      <c r="H783" s="415"/>
      <c r="I783" s="415"/>
      <c r="J783" s="415"/>
      <c r="K783" s="415"/>
      <c r="L783" s="415"/>
      <c r="M783" s="61"/>
      <c r="N783" s="61"/>
      <c r="O783" s="61"/>
      <c r="P783" s="61"/>
      <c r="Q783" s="61"/>
      <c r="R783" s="438"/>
      <c r="S783" s="52"/>
      <c r="T783" s="52"/>
      <c r="V783" s="52">
        <f t="shared" si="99"/>
        <v>0</v>
      </c>
      <c r="AI783" s="52"/>
    </row>
    <row r="784" spans="1:35" ht="12">
      <c r="A784" s="149"/>
      <c r="B784" s="2"/>
      <c r="C784" s="2"/>
      <c r="D784" s="2"/>
      <c r="E784" s="5"/>
      <c r="F784" s="151" t="s">
        <v>73</v>
      </c>
      <c r="G784" s="20" t="s">
        <v>674</v>
      </c>
      <c r="H784" s="10">
        <f>+H768+H781</f>
        <v>83895605</v>
      </c>
      <c r="I784" s="10"/>
      <c r="J784" s="10"/>
      <c r="K784" s="10"/>
      <c r="L784" s="10"/>
      <c r="M784" s="62">
        <f>+M768+M781</f>
        <v>55414311.83</v>
      </c>
      <c r="N784" s="62"/>
      <c r="O784" s="62"/>
      <c r="P784" s="62"/>
      <c r="Q784" s="62"/>
      <c r="R784" s="439"/>
      <c r="S784" s="52"/>
      <c r="T784" s="52"/>
      <c r="V784" s="52">
        <f t="shared" si="99"/>
        <v>28481293.17</v>
      </c>
      <c r="AC784" s="52"/>
      <c r="AD784" s="52"/>
      <c r="AI784" s="52"/>
    </row>
    <row r="785" spans="1:35" ht="12">
      <c r="A785" s="149"/>
      <c r="B785" s="2"/>
      <c r="C785" s="2"/>
      <c r="D785" s="2"/>
      <c r="E785" s="5"/>
      <c r="F785" s="17" t="s">
        <v>268</v>
      </c>
      <c r="G785" s="20" t="s">
        <v>676</v>
      </c>
      <c r="H785" s="10"/>
      <c r="I785" s="10"/>
      <c r="J785" s="10">
        <f>+J777</f>
        <v>327918</v>
      </c>
      <c r="K785" s="10"/>
      <c r="L785" s="10"/>
      <c r="M785" s="62"/>
      <c r="N785" s="62"/>
      <c r="O785" s="62">
        <f>+O777</f>
        <v>327918</v>
      </c>
      <c r="P785" s="62"/>
      <c r="Q785" s="62"/>
      <c r="R785" s="439"/>
      <c r="S785" s="52"/>
      <c r="T785" s="52"/>
      <c r="V785" s="52">
        <f t="shared" si="99"/>
        <v>0</v>
      </c>
      <c r="AI785" s="52"/>
    </row>
    <row r="786" spans="1:35" ht="12">
      <c r="A786" s="149"/>
      <c r="B786" s="2"/>
      <c r="C786" s="2"/>
      <c r="D786" s="2"/>
      <c r="E786" s="5"/>
      <c r="F786" s="17" t="s">
        <v>268</v>
      </c>
      <c r="G786" s="20" t="s">
        <v>675</v>
      </c>
      <c r="H786" s="10"/>
      <c r="I786" s="10"/>
      <c r="J786" s="10">
        <f>+J754</f>
        <v>1000000</v>
      </c>
      <c r="K786" s="10"/>
      <c r="L786" s="10"/>
      <c r="M786" s="62"/>
      <c r="N786" s="62"/>
      <c r="O786" s="62">
        <f>+O754</f>
        <v>0</v>
      </c>
      <c r="P786" s="62"/>
      <c r="Q786" s="62"/>
      <c r="R786" s="439"/>
      <c r="S786" s="52"/>
      <c r="T786" s="52"/>
      <c r="V786" s="52">
        <f t="shared" si="99"/>
        <v>0</v>
      </c>
      <c r="AI786" s="52"/>
    </row>
    <row r="787" spans="1:35" ht="12">
      <c r="A787" s="149"/>
      <c r="B787" s="2"/>
      <c r="C787" s="2"/>
      <c r="D787" s="2"/>
      <c r="E787" s="5"/>
      <c r="F787" s="17" t="s">
        <v>413</v>
      </c>
      <c r="G787" s="20" t="s">
        <v>767</v>
      </c>
      <c r="H787" s="10"/>
      <c r="I787" s="10"/>
      <c r="J787" s="10">
        <f>+J759</f>
        <v>153888</v>
      </c>
      <c r="K787" s="10"/>
      <c r="L787" s="10"/>
      <c r="M787" s="62"/>
      <c r="N787" s="62"/>
      <c r="O787" s="62">
        <f>+O759</f>
        <v>153888</v>
      </c>
      <c r="P787" s="62"/>
      <c r="Q787" s="62"/>
      <c r="R787" s="439"/>
      <c r="S787" s="52"/>
      <c r="T787" s="52"/>
      <c r="V787" s="52">
        <f t="shared" si="99"/>
        <v>0</v>
      </c>
      <c r="AI787" s="52"/>
    </row>
    <row r="788" spans="1:35" ht="12">
      <c r="A788" s="149"/>
      <c r="B788" s="2"/>
      <c r="C788" s="2"/>
      <c r="D788" s="2"/>
      <c r="E788" s="5"/>
      <c r="F788" s="17" t="s">
        <v>353</v>
      </c>
      <c r="G788" s="20" t="s">
        <v>776</v>
      </c>
      <c r="H788" s="10"/>
      <c r="I788" s="10"/>
      <c r="J788" s="10">
        <f>+J780</f>
        <v>2400000</v>
      </c>
      <c r="K788" s="10"/>
      <c r="L788" s="10"/>
      <c r="M788" s="62"/>
      <c r="N788" s="62"/>
      <c r="O788" s="62">
        <f>+O780</f>
        <v>2396208</v>
      </c>
      <c r="P788" s="62"/>
      <c r="Q788" s="62"/>
      <c r="R788" s="439"/>
      <c r="S788" s="52"/>
      <c r="T788" s="52"/>
      <c r="V788" s="52">
        <f t="shared" si="99"/>
        <v>0</v>
      </c>
      <c r="AI788" s="52"/>
    </row>
    <row r="789" spans="1:35" ht="12">
      <c r="A789" s="149"/>
      <c r="B789" s="2"/>
      <c r="C789" s="2"/>
      <c r="D789" s="2"/>
      <c r="E789" s="5"/>
      <c r="F789" s="151"/>
      <c r="G789" s="1" t="s">
        <v>708</v>
      </c>
      <c r="H789" s="10"/>
      <c r="I789" s="10"/>
      <c r="J789" s="10"/>
      <c r="K789" s="10"/>
      <c r="L789" s="10">
        <f>+H784+J785+J787+J786</f>
        <v>85377411</v>
      </c>
      <c r="M789" s="62"/>
      <c r="N789" s="62"/>
      <c r="O789" s="62"/>
      <c r="P789" s="62"/>
      <c r="Q789" s="62"/>
      <c r="R789" s="439"/>
      <c r="S789" s="52"/>
      <c r="T789" s="52"/>
      <c r="V789" s="52">
        <f t="shared" si="99"/>
        <v>0</v>
      </c>
      <c r="AI789" s="52"/>
    </row>
    <row r="790" spans="1:35" ht="12">
      <c r="A790" s="149"/>
      <c r="B790" s="2"/>
      <c r="C790" s="2"/>
      <c r="D790" s="2"/>
      <c r="E790" s="5"/>
      <c r="F790" s="104"/>
      <c r="G790" s="1" t="s">
        <v>709</v>
      </c>
      <c r="H790" s="10"/>
      <c r="I790" s="10"/>
      <c r="J790" s="10"/>
      <c r="K790" s="10"/>
      <c r="L790" s="10"/>
      <c r="M790" s="62"/>
      <c r="N790" s="62"/>
      <c r="O790" s="62"/>
      <c r="P790" s="62"/>
      <c r="Q790" s="62"/>
      <c r="R790" s="439"/>
      <c r="S790" s="52"/>
      <c r="T790" s="52"/>
      <c r="V790" s="52">
        <f t="shared" si="99"/>
        <v>0</v>
      </c>
      <c r="AI790" s="52"/>
    </row>
    <row r="791" spans="1:35" ht="12">
      <c r="A791" s="149"/>
      <c r="B791" s="2"/>
      <c r="C791" s="2"/>
      <c r="D791" s="2"/>
      <c r="E791" s="5"/>
      <c r="F791" s="151" t="s">
        <v>73</v>
      </c>
      <c r="G791" s="20" t="s">
        <v>674</v>
      </c>
      <c r="H791" s="10">
        <f>+H774</f>
        <v>7738098.8</v>
      </c>
      <c r="I791" s="10"/>
      <c r="J791" s="10"/>
      <c r="K791" s="10"/>
      <c r="L791" s="10"/>
      <c r="M791" s="62">
        <f>+M774</f>
        <v>5495384.59</v>
      </c>
      <c r="N791" s="62"/>
      <c r="O791" s="62">
        <f>+M778+M779</f>
        <v>2881416.48</v>
      </c>
      <c r="P791" s="62"/>
      <c r="Q791" s="62"/>
      <c r="R791" s="439"/>
      <c r="S791" s="52"/>
      <c r="T791" s="52"/>
      <c r="V791" s="52">
        <f t="shared" si="99"/>
        <v>2242714.21</v>
      </c>
      <c r="AI791" s="52"/>
    </row>
    <row r="792" spans="1:35" ht="12">
      <c r="A792" s="149"/>
      <c r="B792" s="2"/>
      <c r="C792" s="2"/>
      <c r="D792" s="2"/>
      <c r="E792" s="5"/>
      <c r="F792" s="151"/>
      <c r="G792" s="1" t="s">
        <v>710</v>
      </c>
      <c r="H792" s="10"/>
      <c r="I792" s="10"/>
      <c r="J792" s="10"/>
      <c r="K792" s="10"/>
      <c r="L792" s="10">
        <f>+H791</f>
        <v>7738098.8</v>
      </c>
      <c r="M792" s="62"/>
      <c r="N792" s="62"/>
      <c r="O792" s="62">
        <f>1546519+1334895.28</f>
        <v>2881414.2800000003</v>
      </c>
      <c r="P792" s="62"/>
      <c r="Q792" s="62"/>
      <c r="R792" s="439"/>
      <c r="S792" s="52"/>
      <c r="T792" s="52"/>
      <c r="V792" s="52">
        <f t="shared" si="99"/>
        <v>0</v>
      </c>
      <c r="AI792" s="52"/>
    </row>
    <row r="793" spans="1:35" ht="12">
      <c r="A793" s="149"/>
      <c r="B793" s="2"/>
      <c r="C793" s="2"/>
      <c r="D793" s="2"/>
      <c r="E793" s="5"/>
      <c r="F793" s="151"/>
      <c r="G793" s="1" t="s">
        <v>866</v>
      </c>
      <c r="H793" s="10"/>
      <c r="I793" s="10"/>
      <c r="J793" s="10"/>
      <c r="K793" s="10"/>
      <c r="L793" s="10"/>
      <c r="M793" s="62"/>
      <c r="N793" s="62"/>
      <c r="O793" s="62"/>
      <c r="P793" s="62"/>
      <c r="Q793" s="62"/>
      <c r="R793" s="439"/>
      <c r="S793" s="52"/>
      <c r="T793" s="52"/>
      <c r="V793" s="52">
        <f aca="true" t="shared" si="107" ref="V793:V856">+H793-(M793+Q793)</f>
        <v>0</v>
      </c>
      <c r="AI793" s="52"/>
    </row>
    <row r="794" spans="1:35" ht="12">
      <c r="A794" s="149"/>
      <c r="B794" s="2"/>
      <c r="C794" s="2"/>
      <c r="D794" s="2"/>
      <c r="E794" s="5"/>
      <c r="F794" s="151" t="s">
        <v>73</v>
      </c>
      <c r="G794" s="20" t="s">
        <v>674</v>
      </c>
      <c r="H794" s="10">
        <f>+H768</f>
        <v>25311245</v>
      </c>
      <c r="I794" s="10"/>
      <c r="J794" s="10"/>
      <c r="K794" s="10"/>
      <c r="L794" s="10"/>
      <c r="M794" s="62">
        <f>+M768</f>
        <v>22142146.269999996</v>
      </c>
      <c r="N794" s="62"/>
      <c r="O794" s="62"/>
      <c r="P794" s="62"/>
      <c r="Q794" s="62"/>
      <c r="R794" s="439"/>
      <c r="S794" s="52"/>
      <c r="T794" s="52"/>
      <c r="V794" s="52">
        <f t="shared" si="107"/>
        <v>3169098.730000004</v>
      </c>
      <c r="AI794" s="52"/>
    </row>
    <row r="795" spans="1:35" ht="12">
      <c r="A795" s="149"/>
      <c r="B795" s="2"/>
      <c r="C795" s="2"/>
      <c r="D795" s="2"/>
      <c r="E795" s="5"/>
      <c r="F795" s="17" t="s">
        <v>268</v>
      </c>
      <c r="G795" s="20" t="s">
        <v>675</v>
      </c>
      <c r="H795" s="10"/>
      <c r="I795" s="10"/>
      <c r="J795" s="10">
        <f>+J786</f>
        <v>1000000</v>
      </c>
      <c r="K795" s="10"/>
      <c r="L795" s="10"/>
      <c r="M795" s="62"/>
      <c r="N795" s="62"/>
      <c r="O795" s="62">
        <f>+O786</f>
        <v>0</v>
      </c>
      <c r="P795" s="62"/>
      <c r="Q795" s="62"/>
      <c r="R795" s="439"/>
      <c r="S795" s="52"/>
      <c r="T795" s="52"/>
      <c r="V795" s="52">
        <f t="shared" si="107"/>
        <v>0</v>
      </c>
      <c r="AI795" s="52"/>
    </row>
    <row r="796" spans="1:35" ht="12">
      <c r="A796" s="149"/>
      <c r="B796" s="2"/>
      <c r="C796" s="2"/>
      <c r="D796" s="2"/>
      <c r="E796" s="5"/>
      <c r="F796" s="17" t="s">
        <v>413</v>
      </c>
      <c r="G796" s="20" t="s">
        <v>767</v>
      </c>
      <c r="H796" s="10"/>
      <c r="I796" s="10"/>
      <c r="J796" s="10">
        <f>+J787</f>
        <v>153888</v>
      </c>
      <c r="K796" s="10"/>
      <c r="L796" s="10"/>
      <c r="M796" s="62"/>
      <c r="N796" s="62"/>
      <c r="O796" s="62">
        <f>+O787</f>
        <v>153888</v>
      </c>
      <c r="P796" s="62"/>
      <c r="Q796" s="62"/>
      <c r="R796" s="439"/>
      <c r="S796" s="52"/>
      <c r="T796" s="52"/>
      <c r="V796" s="52">
        <f t="shared" si="107"/>
        <v>0</v>
      </c>
      <c r="AI796" s="52"/>
    </row>
    <row r="797" spans="1:35" ht="12">
      <c r="A797" s="149"/>
      <c r="B797" s="2"/>
      <c r="C797" s="2"/>
      <c r="D797" s="2"/>
      <c r="E797" s="5"/>
      <c r="F797" s="151"/>
      <c r="G797" s="1" t="s">
        <v>829</v>
      </c>
      <c r="H797" s="10"/>
      <c r="I797" s="10"/>
      <c r="J797" s="10"/>
      <c r="K797" s="10"/>
      <c r="L797" s="10">
        <f>+H794+J795+J796</f>
        <v>26465133</v>
      </c>
      <c r="M797" s="62"/>
      <c r="N797" s="62"/>
      <c r="O797" s="62"/>
      <c r="P797" s="62"/>
      <c r="Q797" s="62"/>
      <c r="R797" s="439"/>
      <c r="S797" s="52"/>
      <c r="T797" s="52"/>
      <c r="V797" s="52">
        <f t="shared" si="107"/>
        <v>0</v>
      </c>
      <c r="AI797" s="52"/>
    </row>
    <row r="798" spans="1:35" ht="12">
      <c r="A798" s="149"/>
      <c r="B798" s="2"/>
      <c r="C798" s="2"/>
      <c r="D798" s="2"/>
      <c r="E798" s="5"/>
      <c r="F798" s="151"/>
      <c r="G798" s="1" t="s">
        <v>867</v>
      </c>
      <c r="H798" s="10"/>
      <c r="I798" s="10"/>
      <c r="J798" s="10"/>
      <c r="K798" s="10"/>
      <c r="L798" s="10"/>
      <c r="M798" s="62"/>
      <c r="N798" s="62"/>
      <c r="O798" s="62"/>
      <c r="P798" s="62"/>
      <c r="Q798" s="62"/>
      <c r="R798" s="439"/>
      <c r="S798" s="52"/>
      <c r="T798" s="52"/>
      <c r="V798" s="52">
        <f t="shared" si="107"/>
        <v>0</v>
      </c>
      <c r="AI798" s="52"/>
    </row>
    <row r="799" spans="1:35" ht="12">
      <c r="A799" s="149"/>
      <c r="B799" s="2"/>
      <c r="C799" s="2"/>
      <c r="D799" s="2"/>
      <c r="E799" s="5"/>
      <c r="F799" s="151" t="s">
        <v>73</v>
      </c>
      <c r="G799" s="20" t="s">
        <v>674</v>
      </c>
      <c r="H799" s="10">
        <f>+H774</f>
        <v>7738098.8</v>
      </c>
      <c r="I799" s="10"/>
      <c r="J799" s="10"/>
      <c r="K799" s="10"/>
      <c r="L799" s="10"/>
      <c r="M799" s="62">
        <f>+M774</f>
        <v>5495384.59</v>
      </c>
      <c r="N799" s="62"/>
      <c r="O799" s="62"/>
      <c r="P799" s="62"/>
      <c r="Q799" s="62"/>
      <c r="R799" s="439"/>
      <c r="S799" s="52"/>
      <c r="T799" s="52"/>
      <c r="V799" s="52">
        <f t="shared" si="107"/>
        <v>2242714.21</v>
      </c>
      <c r="AI799" s="52"/>
    </row>
    <row r="800" spans="1:35" ht="12">
      <c r="A800" s="149"/>
      <c r="B800" s="2"/>
      <c r="C800" s="2"/>
      <c r="D800" s="2"/>
      <c r="E800" s="5"/>
      <c r="F800" s="151"/>
      <c r="G800" s="1" t="s">
        <v>830</v>
      </c>
      <c r="H800" s="10"/>
      <c r="I800" s="10"/>
      <c r="J800" s="10"/>
      <c r="K800" s="10"/>
      <c r="L800" s="10">
        <f>H799</f>
        <v>7738098.8</v>
      </c>
      <c r="M800" s="62"/>
      <c r="N800" s="62"/>
      <c r="O800" s="62"/>
      <c r="P800" s="62"/>
      <c r="Q800" s="62"/>
      <c r="R800" s="439"/>
      <c r="S800" s="52"/>
      <c r="T800" s="52"/>
      <c r="V800" s="52">
        <f t="shared" si="107"/>
        <v>0</v>
      </c>
      <c r="AI800" s="52"/>
    </row>
    <row r="801" spans="1:35" ht="12">
      <c r="A801" s="149"/>
      <c r="B801" s="2"/>
      <c r="C801" s="2"/>
      <c r="D801" s="2"/>
      <c r="E801" s="5"/>
      <c r="F801" s="151"/>
      <c r="G801" s="1" t="s">
        <v>868</v>
      </c>
      <c r="H801" s="10"/>
      <c r="I801" s="10"/>
      <c r="J801" s="10"/>
      <c r="K801" s="10"/>
      <c r="L801" s="10"/>
      <c r="M801" s="62"/>
      <c r="N801" s="62"/>
      <c r="O801" s="62"/>
      <c r="P801" s="62"/>
      <c r="Q801" s="62"/>
      <c r="R801" s="439"/>
      <c r="S801" s="52"/>
      <c r="T801" s="52"/>
      <c r="V801" s="52">
        <f t="shared" si="107"/>
        <v>0</v>
      </c>
      <c r="AI801" s="52"/>
    </row>
    <row r="802" spans="1:35" ht="12">
      <c r="A802" s="149"/>
      <c r="B802" s="2"/>
      <c r="C802" s="2"/>
      <c r="D802" s="2"/>
      <c r="E802" s="5"/>
      <c r="F802" s="151" t="s">
        <v>73</v>
      </c>
      <c r="G802" s="20" t="s">
        <v>674</v>
      </c>
      <c r="H802" s="10">
        <f>+H781</f>
        <v>58584360</v>
      </c>
      <c r="I802" s="10"/>
      <c r="J802" s="10"/>
      <c r="K802" s="10"/>
      <c r="L802" s="10"/>
      <c r="M802" s="62">
        <f>+M781</f>
        <v>33272165.560000002</v>
      </c>
      <c r="N802" s="62"/>
      <c r="O802" s="62"/>
      <c r="P802" s="62"/>
      <c r="Q802" s="62"/>
      <c r="R802" s="439"/>
      <c r="S802" s="52"/>
      <c r="T802" s="52"/>
      <c r="V802" s="52">
        <f t="shared" si="107"/>
        <v>25312194.439999998</v>
      </c>
      <c r="AI802" s="52"/>
    </row>
    <row r="803" spans="1:35" ht="12">
      <c r="A803" s="149"/>
      <c r="B803" s="2"/>
      <c r="C803" s="2"/>
      <c r="D803" s="2"/>
      <c r="E803" s="5"/>
      <c r="F803" s="17" t="s">
        <v>268</v>
      </c>
      <c r="G803" s="20" t="s">
        <v>676</v>
      </c>
      <c r="H803" s="10"/>
      <c r="I803" s="10"/>
      <c r="J803" s="10">
        <f>+J785</f>
        <v>327918</v>
      </c>
      <c r="K803" s="10"/>
      <c r="L803" s="10"/>
      <c r="M803" s="62"/>
      <c r="N803" s="62"/>
      <c r="O803" s="62">
        <f>+O785</f>
        <v>327918</v>
      </c>
      <c r="P803" s="62"/>
      <c r="Q803" s="62"/>
      <c r="R803" s="439"/>
      <c r="S803" s="52"/>
      <c r="T803" s="52"/>
      <c r="V803" s="52">
        <f t="shared" si="107"/>
        <v>0</v>
      </c>
      <c r="AI803" s="52"/>
    </row>
    <row r="804" spans="1:35" ht="12">
      <c r="A804" s="149"/>
      <c r="B804" s="2"/>
      <c r="C804" s="2"/>
      <c r="D804" s="2"/>
      <c r="E804" s="5"/>
      <c r="F804" s="17" t="s">
        <v>353</v>
      </c>
      <c r="G804" s="20" t="s">
        <v>776</v>
      </c>
      <c r="H804" s="10"/>
      <c r="I804" s="10"/>
      <c r="J804" s="10">
        <f>+J780</f>
        <v>2400000</v>
      </c>
      <c r="K804" s="10"/>
      <c r="L804" s="10"/>
      <c r="M804" s="62"/>
      <c r="N804" s="62"/>
      <c r="O804" s="62">
        <f>+O780</f>
        <v>2396208</v>
      </c>
      <c r="P804" s="62"/>
      <c r="Q804" s="62"/>
      <c r="R804" s="439"/>
      <c r="S804" s="52"/>
      <c r="T804" s="52"/>
      <c r="V804" s="52">
        <f t="shared" si="107"/>
        <v>0</v>
      </c>
      <c r="AI804" s="52"/>
    </row>
    <row r="805" spans="1:35" ht="12">
      <c r="A805" s="149"/>
      <c r="B805" s="2"/>
      <c r="C805" s="2"/>
      <c r="D805" s="2"/>
      <c r="E805" s="5"/>
      <c r="F805" s="151"/>
      <c r="G805" s="1" t="s">
        <v>831</v>
      </c>
      <c r="H805" s="10"/>
      <c r="I805" s="10"/>
      <c r="J805" s="10"/>
      <c r="K805" s="10"/>
      <c r="L805" s="10">
        <f>H802+J803+J804</f>
        <v>61312278</v>
      </c>
      <c r="M805" s="62"/>
      <c r="N805" s="62"/>
      <c r="O805" s="62"/>
      <c r="P805" s="62"/>
      <c r="Q805" s="62"/>
      <c r="R805" s="439"/>
      <c r="S805" s="52"/>
      <c r="T805" s="52"/>
      <c r="V805" s="52">
        <f t="shared" si="107"/>
        <v>0</v>
      </c>
      <c r="AI805" s="52"/>
    </row>
    <row r="806" spans="1:35" ht="12">
      <c r="A806" s="149"/>
      <c r="B806" s="2"/>
      <c r="C806" s="2"/>
      <c r="D806" s="2"/>
      <c r="E806" s="5"/>
      <c r="F806" s="151"/>
      <c r="G806" s="1" t="s">
        <v>869</v>
      </c>
      <c r="H806" s="10"/>
      <c r="I806" s="10"/>
      <c r="J806" s="10"/>
      <c r="K806" s="10"/>
      <c r="L806" s="10"/>
      <c r="M806" s="62"/>
      <c r="N806" s="62"/>
      <c r="O806" s="62"/>
      <c r="P806" s="62"/>
      <c r="Q806" s="62"/>
      <c r="R806" s="439"/>
      <c r="S806" s="52"/>
      <c r="T806" s="52"/>
      <c r="V806" s="52">
        <f t="shared" si="107"/>
        <v>0</v>
      </c>
      <c r="AI806" s="52"/>
    </row>
    <row r="807" spans="1:35" ht="12">
      <c r="A807" s="149"/>
      <c r="B807" s="2"/>
      <c r="C807" s="2"/>
      <c r="D807" s="2"/>
      <c r="E807" s="5"/>
      <c r="F807" s="151" t="s">
        <v>73</v>
      </c>
      <c r="G807" s="20" t="s">
        <v>674</v>
      </c>
      <c r="H807" s="10">
        <f>+H794+H799+H802</f>
        <v>91633703.8</v>
      </c>
      <c r="I807" s="10"/>
      <c r="J807" s="10"/>
      <c r="K807" s="10"/>
      <c r="L807" s="10"/>
      <c r="M807" s="62">
        <f>+M794+M799+M802</f>
        <v>60909696.42</v>
      </c>
      <c r="N807" s="62"/>
      <c r="O807" s="62"/>
      <c r="P807" s="62"/>
      <c r="Q807" s="62"/>
      <c r="R807" s="439"/>
      <c r="S807" s="52"/>
      <c r="T807" s="52"/>
      <c r="V807" s="52">
        <f t="shared" si="107"/>
        <v>30724007.379999995</v>
      </c>
      <c r="AI807" s="52"/>
    </row>
    <row r="808" spans="1:35" ht="12">
      <c r="A808" s="149"/>
      <c r="B808" s="2"/>
      <c r="C808" s="2"/>
      <c r="D808" s="2"/>
      <c r="E808" s="5"/>
      <c r="F808" s="17" t="s">
        <v>268</v>
      </c>
      <c r="G808" s="20" t="s">
        <v>676</v>
      </c>
      <c r="H808" s="10"/>
      <c r="I808" s="10"/>
      <c r="J808" s="52">
        <f>+J785</f>
        <v>327918</v>
      </c>
      <c r="K808" s="10"/>
      <c r="L808" s="10"/>
      <c r="M808" s="62"/>
      <c r="N808" s="62"/>
      <c r="O808" s="62">
        <f>+O785</f>
        <v>327918</v>
      </c>
      <c r="P808" s="62"/>
      <c r="Q808" s="62"/>
      <c r="R808" s="439"/>
      <c r="S808" s="52"/>
      <c r="T808" s="52"/>
      <c r="V808" s="52">
        <f t="shared" si="107"/>
        <v>0</v>
      </c>
      <c r="AI808" s="52"/>
    </row>
    <row r="809" spans="1:35" ht="12">
      <c r="A809" s="149"/>
      <c r="B809" s="2"/>
      <c r="C809" s="2"/>
      <c r="D809" s="2"/>
      <c r="E809" s="5"/>
      <c r="F809" s="17" t="s">
        <v>268</v>
      </c>
      <c r="G809" s="20" t="s">
        <v>675</v>
      </c>
      <c r="H809" s="10"/>
      <c r="I809" s="10"/>
      <c r="J809" s="10">
        <f>+J795</f>
        <v>1000000</v>
      </c>
      <c r="K809" s="10"/>
      <c r="L809" s="10"/>
      <c r="M809" s="62"/>
      <c r="N809" s="62"/>
      <c r="O809" s="62">
        <f>+O795</f>
        <v>0</v>
      </c>
      <c r="P809" s="62"/>
      <c r="Q809" s="62"/>
      <c r="R809" s="439"/>
      <c r="S809" s="52"/>
      <c r="T809" s="52"/>
      <c r="V809" s="52">
        <f t="shared" si="107"/>
        <v>0</v>
      </c>
      <c r="AI809" s="52"/>
    </row>
    <row r="810" spans="1:35" ht="12">
      <c r="A810" s="149"/>
      <c r="B810" s="2"/>
      <c r="C810" s="2"/>
      <c r="D810" s="2"/>
      <c r="E810" s="5"/>
      <c r="F810" s="17" t="s">
        <v>413</v>
      </c>
      <c r="G810" s="20" t="s">
        <v>767</v>
      </c>
      <c r="H810" s="10"/>
      <c r="I810" s="10"/>
      <c r="J810" s="10">
        <f>+J787</f>
        <v>153888</v>
      </c>
      <c r="K810" s="10"/>
      <c r="L810" s="10"/>
      <c r="M810" s="62"/>
      <c r="N810" s="62"/>
      <c r="O810" s="62">
        <f>+O787</f>
        <v>153888</v>
      </c>
      <c r="P810" s="62"/>
      <c r="Q810" s="62"/>
      <c r="R810" s="439"/>
      <c r="S810" s="52"/>
      <c r="T810" s="52"/>
      <c r="V810" s="52">
        <f t="shared" si="107"/>
        <v>0</v>
      </c>
      <c r="AI810" s="52"/>
    </row>
    <row r="811" spans="1:35" ht="12">
      <c r="A811" s="149"/>
      <c r="B811" s="2"/>
      <c r="C811" s="2"/>
      <c r="D811" s="2"/>
      <c r="E811" s="5"/>
      <c r="F811" s="17" t="s">
        <v>353</v>
      </c>
      <c r="G811" s="20" t="s">
        <v>776</v>
      </c>
      <c r="H811" s="10"/>
      <c r="I811" s="10"/>
      <c r="J811" s="10">
        <f>+J788</f>
        <v>2400000</v>
      </c>
      <c r="K811" s="10"/>
      <c r="L811" s="10"/>
      <c r="M811" s="62"/>
      <c r="N811" s="62"/>
      <c r="O811" s="62">
        <f>+O788</f>
        <v>2396208</v>
      </c>
      <c r="P811" s="62"/>
      <c r="Q811" s="62"/>
      <c r="R811" s="439"/>
      <c r="S811" s="52"/>
      <c r="T811" s="52"/>
      <c r="V811" s="52">
        <f t="shared" si="107"/>
        <v>0</v>
      </c>
      <c r="AI811" s="52"/>
    </row>
    <row r="812" spans="1:35" ht="12">
      <c r="A812" s="150"/>
      <c r="B812" s="40"/>
      <c r="C812" s="40"/>
      <c r="D812" s="40"/>
      <c r="E812" s="19"/>
      <c r="F812" s="123"/>
      <c r="G812" s="90" t="s">
        <v>832</v>
      </c>
      <c r="H812" s="407"/>
      <c r="I812" s="407"/>
      <c r="J812" s="407"/>
      <c r="K812" s="407"/>
      <c r="L812" s="407">
        <f>+H807+J809+J810+J808+J811</f>
        <v>95515509.8</v>
      </c>
      <c r="M812" s="53"/>
      <c r="N812" s="53"/>
      <c r="O812" s="53"/>
      <c r="P812" s="53"/>
      <c r="Q812" s="53"/>
      <c r="R812" s="543">
        <f>+O811+O810+O809+O808+M807</f>
        <v>63787710.42</v>
      </c>
      <c r="S812" s="52"/>
      <c r="T812" s="52"/>
      <c r="V812" s="52">
        <f t="shared" si="107"/>
        <v>0</v>
      </c>
      <c r="AI812" s="52"/>
    </row>
    <row r="813" spans="1:35" ht="12">
      <c r="A813" s="88"/>
      <c r="B813" s="88"/>
      <c r="C813" s="88"/>
      <c r="D813" s="158"/>
      <c r="E813" s="82"/>
      <c r="F813" s="153"/>
      <c r="G813" s="82"/>
      <c r="H813" s="399"/>
      <c r="I813" s="399"/>
      <c r="J813" s="399"/>
      <c r="K813" s="399"/>
      <c r="L813" s="399"/>
      <c r="M813" s="86"/>
      <c r="N813" s="86"/>
      <c r="O813" s="86"/>
      <c r="P813" s="86"/>
      <c r="Q813" s="86"/>
      <c r="R813" s="435"/>
      <c r="S813" s="52"/>
      <c r="T813" s="52"/>
      <c r="V813" s="52">
        <f t="shared" si="107"/>
        <v>0</v>
      </c>
      <c r="AI813" s="52"/>
    </row>
    <row r="814" spans="1:35" ht="12">
      <c r="A814" s="80"/>
      <c r="B814" s="80"/>
      <c r="C814" s="80" t="s">
        <v>339</v>
      </c>
      <c r="D814" s="80"/>
      <c r="E814" s="81"/>
      <c r="F814" s="153"/>
      <c r="G814" s="82" t="s">
        <v>833</v>
      </c>
      <c r="H814" s="399"/>
      <c r="I814" s="420"/>
      <c r="J814" s="420"/>
      <c r="K814" s="420"/>
      <c r="L814" s="420"/>
      <c r="M814" s="86"/>
      <c r="N814" s="86"/>
      <c r="O814" s="86"/>
      <c r="P814" s="86"/>
      <c r="Q814" s="86"/>
      <c r="R814" s="435"/>
      <c r="S814" s="52"/>
      <c r="T814" s="52"/>
      <c r="V814" s="52">
        <f t="shared" si="107"/>
        <v>0</v>
      </c>
      <c r="AI814" s="52"/>
    </row>
    <row r="815" spans="1:35" ht="12">
      <c r="A815" s="80"/>
      <c r="B815" s="80"/>
      <c r="C815" s="80"/>
      <c r="D815" s="80"/>
      <c r="E815" s="81"/>
      <c r="F815" s="153"/>
      <c r="G815" s="82"/>
      <c r="H815" s="399"/>
      <c r="I815" s="420"/>
      <c r="J815" s="420"/>
      <c r="K815" s="420"/>
      <c r="L815" s="420"/>
      <c r="M815" s="86"/>
      <c r="N815" s="86"/>
      <c r="O815" s="86"/>
      <c r="P815" s="86"/>
      <c r="Q815" s="86"/>
      <c r="R815" s="435"/>
      <c r="S815" s="52"/>
      <c r="T815" s="52"/>
      <c r="V815" s="52">
        <f t="shared" si="107"/>
        <v>0</v>
      </c>
      <c r="AI815" s="52"/>
    </row>
    <row r="816" spans="1:35" ht="12">
      <c r="A816" s="80"/>
      <c r="B816" s="80"/>
      <c r="C816" s="535" t="s">
        <v>340</v>
      </c>
      <c r="D816" s="88"/>
      <c r="E816" s="83"/>
      <c r="F816" s="142"/>
      <c r="G816" s="82" t="s">
        <v>908</v>
      </c>
      <c r="H816" s="399"/>
      <c r="I816" s="420"/>
      <c r="J816" s="420"/>
      <c r="K816" s="420"/>
      <c r="L816" s="420"/>
      <c r="M816" s="86"/>
      <c r="N816" s="86"/>
      <c r="O816" s="86"/>
      <c r="P816" s="386"/>
      <c r="Q816" s="86"/>
      <c r="R816" s="435"/>
      <c r="S816" s="52"/>
      <c r="T816" s="52"/>
      <c r="V816" s="52">
        <f t="shared" si="107"/>
        <v>0</v>
      </c>
      <c r="AI816" s="52"/>
    </row>
    <row r="817" spans="1:35" ht="12">
      <c r="A817" s="80"/>
      <c r="B817" s="80"/>
      <c r="C817" s="80"/>
      <c r="D817" s="89">
        <v>130</v>
      </c>
      <c r="E817" s="83"/>
      <c r="F817" s="142"/>
      <c r="G817" s="82" t="s">
        <v>775</v>
      </c>
      <c r="H817" s="399"/>
      <c r="I817" s="420"/>
      <c r="J817" s="420"/>
      <c r="K817" s="420"/>
      <c r="L817" s="420"/>
      <c r="M817" s="86"/>
      <c r="N817" s="86"/>
      <c r="O817" s="86"/>
      <c r="P817" s="386"/>
      <c r="Q817" s="86"/>
      <c r="R817" s="435"/>
      <c r="S817" s="52"/>
      <c r="T817" s="52"/>
      <c r="V817" s="52">
        <f t="shared" si="107"/>
        <v>0</v>
      </c>
      <c r="AI817" s="52"/>
    </row>
    <row r="818" spans="1:35" ht="12">
      <c r="A818" s="80">
        <f>+A780+1</f>
        <v>196</v>
      </c>
      <c r="B818" s="80"/>
      <c r="C818" s="80"/>
      <c r="D818" s="89"/>
      <c r="E818" s="85">
        <v>421</v>
      </c>
      <c r="F818" s="112"/>
      <c r="G818" s="83" t="s">
        <v>567</v>
      </c>
      <c r="H818" s="399">
        <f>110000+T818</f>
        <v>250000</v>
      </c>
      <c r="I818" s="420"/>
      <c r="J818" s="420"/>
      <c r="K818" s="420"/>
      <c r="L818" s="399">
        <f aca="true" t="shared" si="108" ref="L818:L825">+H818+I818+J818+K818</f>
        <v>250000</v>
      </c>
      <c r="M818" s="86">
        <f>103697.29+120410</f>
        <v>224107.28999999998</v>
      </c>
      <c r="N818" s="86"/>
      <c r="O818" s="86"/>
      <c r="P818" s="386"/>
      <c r="Q818" s="86">
        <v>8000</v>
      </c>
      <c r="R818" s="435">
        <f>+M818/H818*100</f>
        <v>89.642916</v>
      </c>
      <c r="S818" s="52"/>
      <c r="T818" s="52">
        <v>140000</v>
      </c>
      <c r="V818" s="52">
        <f t="shared" si="107"/>
        <v>17892.71000000002</v>
      </c>
      <c r="AI818" s="52"/>
    </row>
    <row r="819" spans="1:35" ht="12">
      <c r="A819" s="80">
        <f>+A818+1</f>
        <v>197</v>
      </c>
      <c r="B819" s="80"/>
      <c r="C819" s="80"/>
      <c r="D819" s="89"/>
      <c r="E819" s="85">
        <v>422</v>
      </c>
      <c r="F819" s="112"/>
      <c r="G819" s="83" t="s">
        <v>569</v>
      </c>
      <c r="H819" s="399">
        <f>8000-8000</f>
        <v>0</v>
      </c>
      <c r="I819" s="420"/>
      <c r="J819" s="420"/>
      <c r="K819" s="420"/>
      <c r="L819" s="399">
        <f t="shared" si="108"/>
        <v>0</v>
      </c>
      <c r="M819" s="86">
        <v>0</v>
      </c>
      <c r="N819" s="86"/>
      <c r="O819" s="86"/>
      <c r="P819" s="386"/>
      <c r="Q819" s="86"/>
      <c r="R819" s="435">
        <v>0</v>
      </c>
      <c r="S819" s="52"/>
      <c r="T819" s="52"/>
      <c r="V819" s="52">
        <f t="shared" si="107"/>
        <v>0</v>
      </c>
      <c r="AI819" s="52"/>
    </row>
    <row r="820" spans="1:35" ht="12">
      <c r="A820" s="80">
        <f>+A819+1</f>
        <v>198</v>
      </c>
      <c r="B820" s="80"/>
      <c r="C820" s="80"/>
      <c r="D820" s="89"/>
      <c r="E820" s="85">
        <v>423</v>
      </c>
      <c r="F820" s="112"/>
      <c r="G820" s="83" t="s">
        <v>539</v>
      </c>
      <c r="H820" s="399">
        <f>434000</f>
        <v>434000</v>
      </c>
      <c r="I820" s="420"/>
      <c r="J820" s="420"/>
      <c r="K820" s="420"/>
      <c r="L820" s="399">
        <f t="shared" si="108"/>
        <v>434000</v>
      </c>
      <c r="M820" s="386">
        <v>429627</v>
      </c>
      <c r="N820" s="386"/>
      <c r="O820" s="86"/>
      <c r="P820" s="55"/>
      <c r="Q820" s="86"/>
      <c r="R820" s="435">
        <f aca="true" t="shared" si="109" ref="R820:R829">+M820/H820*100</f>
        <v>98.99239631336405</v>
      </c>
      <c r="S820" s="52"/>
      <c r="T820" s="52">
        <v>10000</v>
      </c>
      <c r="V820" s="52">
        <f t="shared" si="107"/>
        <v>4373</v>
      </c>
      <c r="AI820" s="52"/>
    </row>
    <row r="821" spans="1:35" ht="12">
      <c r="A821" s="80">
        <f>+A820+1</f>
        <v>199</v>
      </c>
      <c r="B821" s="80"/>
      <c r="C821" s="80"/>
      <c r="D821" s="89"/>
      <c r="E821" s="85">
        <v>424</v>
      </c>
      <c r="F821" s="112"/>
      <c r="G821" s="83" t="s">
        <v>554</v>
      </c>
      <c r="H821" s="399">
        <f>255000+245000</f>
        <v>500000</v>
      </c>
      <c r="I821" s="420"/>
      <c r="J821" s="420"/>
      <c r="K821" s="420"/>
      <c r="L821" s="399">
        <f t="shared" si="108"/>
        <v>500000</v>
      </c>
      <c r="M821" s="386">
        <f>227653+192000</f>
        <v>419653</v>
      </c>
      <c r="N821" s="386"/>
      <c r="O821" s="86"/>
      <c r="P821" s="55"/>
      <c r="Q821" s="86">
        <v>19200</v>
      </c>
      <c r="R821" s="435">
        <f t="shared" si="109"/>
        <v>83.9306</v>
      </c>
      <c r="S821" s="52"/>
      <c r="T821" s="52"/>
      <c r="V821" s="52">
        <f t="shared" si="107"/>
        <v>61147</v>
      </c>
      <c r="AI821" s="52"/>
    </row>
    <row r="822" spans="1:35" ht="12">
      <c r="A822" s="80">
        <f>+A821+1</f>
        <v>200</v>
      </c>
      <c r="B822" s="80"/>
      <c r="C822" s="80"/>
      <c r="D822" s="89"/>
      <c r="E822" s="85">
        <v>425</v>
      </c>
      <c r="F822" s="112"/>
      <c r="G822" s="83" t="s">
        <v>540</v>
      </c>
      <c r="H822" s="399">
        <f>2024000+T822</f>
        <v>1884000</v>
      </c>
      <c r="I822" s="420"/>
      <c r="J822" s="420">
        <v>1000000</v>
      </c>
      <c r="K822" s="420"/>
      <c r="L822" s="399">
        <f t="shared" si="108"/>
        <v>2884000</v>
      </c>
      <c r="M822" s="386">
        <v>307934.2</v>
      </c>
      <c r="N822" s="386"/>
      <c r="O822" s="86">
        <v>308740</v>
      </c>
      <c r="P822" s="55"/>
      <c r="Q822" s="86">
        <v>800000</v>
      </c>
      <c r="R822" s="435">
        <f t="shared" si="109"/>
        <v>16.344702760084925</v>
      </c>
      <c r="S822" s="52"/>
      <c r="T822" s="52">
        <v>-140000</v>
      </c>
      <c r="V822" s="52">
        <f t="shared" si="107"/>
        <v>776065.8</v>
      </c>
      <c r="AI822" s="52"/>
    </row>
    <row r="823" spans="1:35" ht="12">
      <c r="A823" s="80">
        <f>+A822+1</f>
        <v>201</v>
      </c>
      <c r="B823" s="80"/>
      <c r="C823" s="80"/>
      <c r="D823" s="89"/>
      <c r="E823" s="85">
        <v>426</v>
      </c>
      <c r="F823" s="112"/>
      <c r="G823" s="83" t="s">
        <v>530</v>
      </c>
      <c r="H823" s="399">
        <f>120000-50000</f>
        <v>70000</v>
      </c>
      <c r="I823" s="420"/>
      <c r="J823" s="420"/>
      <c r="K823" s="463"/>
      <c r="L823" s="414">
        <f t="shared" si="108"/>
        <v>70000</v>
      </c>
      <c r="M823" s="386">
        <v>65782</v>
      </c>
      <c r="N823" s="386"/>
      <c r="O823" s="86"/>
      <c r="P823" s="55"/>
      <c r="Q823" s="86">
        <v>1600</v>
      </c>
      <c r="R823" s="436">
        <f t="shared" si="109"/>
        <v>93.97428571428571</v>
      </c>
      <c r="S823" s="52"/>
      <c r="T823" s="52"/>
      <c r="V823" s="52">
        <f t="shared" si="107"/>
        <v>2618</v>
      </c>
      <c r="AI823" s="52"/>
    </row>
    <row r="824" spans="1:35" ht="12">
      <c r="A824" s="126" t="s">
        <v>418</v>
      </c>
      <c r="B824" s="24"/>
      <c r="C824" s="126"/>
      <c r="D824" s="512"/>
      <c r="E824" s="127">
        <v>4819</v>
      </c>
      <c r="F824" s="114"/>
      <c r="G824" s="129" t="s">
        <v>700</v>
      </c>
      <c r="H824" s="414"/>
      <c r="I824" s="18"/>
      <c r="J824" s="513">
        <v>300000</v>
      </c>
      <c r="K824" s="513"/>
      <c r="L824" s="414">
        <f>J824</f>
        <v>300000</v>
      </c>
      <c r="M824" s="386"/>
      <c r="N824" s="386"/>
      <c r="O824" s="86">
        <v>290000</v>
      </c>
      <c r="P824" s="55"/>
      <c r="Q824" s="86"/>
      <c r="R824" s="436"/>
      <c r="S824" s="52"/>
      <c r="T824" s="52"/>
      <c r="V824" s="52">
        <f t="shared" si="107"/>
        <v>0</v>
      </c>
      <c r="AI824" s="52"/>
    </row>
    <row r="825" spans="1:35" ht="12">
      <c r="A825" s="126">
        <f>+A823+1</f>
        <v>202</v>
      </c>
      <c r="B825" s="24"/>
      <c r="C825" s="126"/>
      <c r="D825" s="24"/>
      <c r="E825" s="127">
        <v>482</v>
      </c>
      <c r="F825" s="109"/>
      <c r="G825" s="129" t="s">
        <v>541</v>
      </c>
      <c r="H825" s="414">
        <f>763000+T825</f>
        <v>753000</v>
      </c>
      <c r="I825" s="415"/>
      <c r="J825" s="416">
        <v>150000</v>
      </c>
      <c r="K825" s="416"/>
      <c r="L825" s="414">
        <f t="shared" si="108"/>
        <v>903000</v>
      </c>
      <c r="M825" s="52">
        <v>732516</v>
      </c>
      <c r="N825" s="130"/>
      <c r="O825" s="393"/>
      <c r="P825" s="52"/>
      <c r="Q825" s="393"/>
      <c r="R825" s="443">
        <f t="shared" si="109"/>
        <v>97.2796812749004</v>
      </c>
      <c r="S825" s="52"/>
      <c r="T825" s="52">
        <v>-10000</v>
      </c>
      <c r="V825" s="52">
        <f t="shared" si="107"/>
        <v>20484</v>
      </c>
      <c r="AI825" s="52"/>
    </row>
    <row r="826" spans="1:35" ht="12">
      <c r="A826" s="131"/>
      <c r="B826" s="25"/>
      <c r="C826" s="131"/>
      <c r="D826" s="25"/>
      <c r="E826" s="132"/>
      <c r="F826" s="21"/>
      <c r="G826" s="134" t="s">
        <v>604</v>
      </c>
      <c r="H826" s="417"/>
      <c r="I826" s="407"/>
      <c r="J826" s="418"/>
      <c r="K826" s="418"/>
      <c r="L826" s="417"/>
      <c r="M826" s="52"/>
      <c r="N826" s="135"/>
      <c r="O826" s="393"/>
      <c r="P826" s="52"/>
      <c r="Q826" s="135"/>
      <c r="R826" s="437"/>
      <c r="S826" s="52"/>
      <c r="T826" s="52"/>
      <c r="V826" s="52">
        <f t="shared" si="107"/>
        <v>0</v>
      </c>
      <c r="AI826" s="52"/>
    </row>
    <row r="827" spans="1:35" ht="12">
      <c r="A827" s="80">
        <f>+A825+1</f>
        <v>203</v>
      </c>
      <c r="B827" s="80"/>
      <c r="C827" s="80"/>
      <c r="D827" s="89"/>
      <c r="E827" s="85">
        <v>511</v>
      </c>
      <c r="F827" s="112"/>
      <c r="G827" s="83" t="s">
        <v>534</v>
      </c>
      <c r="H827" s="399">
        <f>345000+S827</f>
        <v>443947.5</v>
      </c>
      <c r="I827" s="420"/>
      <c r="J827" s="420">
        <v>2207233</v>
      </c>
      <c r="K827" s="430"/>
      <c r="L827" s="386">
        <f>+H827+I827+J827+K827</f>
        <v>2651180.5</v>
      </c>
      <c r="M827" s="386">
        <v>200000</v>
      </c>
      <c r="N827" s="386"/>
      <c r="O827" s="86">
        <f>2083682.04+100000</f>
        <v>2183682.04</v>
      </c>
      <c r="P827" s="55"/>
      <c r="Q827" s="86"/>
      <c r="R827" s="437">
        <f t="shared" si="109"/>
        <v>45.050371947133385</v>
      </c>
      <c r="S827" s="52">
        <v>98947.5</v>
      </c>
      <c r="T827" s="52"/>
      <c r="V827" s="52">
        <f t="shared" si="107"/>
        <v>243947.5</v>
      </c>
      <c r="AI827" s="52"/>
    </row>
    <row r="828" spans="1:35" ht="12">
      <c r="A828" s="80">
        <f>+A827+1</f>
        <v>204</v>
      </c>
      <c r="B828" s="80"/>
      <c r="C828" s="80"/>
      <c r="D828" s="89"/>
      <c r="E828" s="85">
        <v>512</v>
      </c>
      <c r="F828" s="112"/>
      <c r="G828" s="83" t="s">
        <v>572</v>
      </c>
      <c r="H828" s="399">
        <v>50000</v>
      </c>
      <c r="I828" s="420"/>
      <c r="J828" s="420"/>
      <c r="K828" s="420"/>
      <c r="L828" s="386">
        <f>+H828+I828+J828+K828</f>
        <v>50000</v>
      </c>
      <c r="M828" s="386">
        <v>0</v>
      </c>
      <c r="N828" s="386"/>
      <c r="O828" s="86"/>
      <c r="P828" s="55"/>
      <c r="Q828" s="86"/>
      <c r="R828" s="435">
        <f t="shared" si="109"/>
        <v>0</v>
      </c>
      <c r="S828" s="52"/>
      <c r="T828" s="52"/>
      <c r="V828" s="52">
        <f t="shared" si="107"/>
        <v>50000</v>
      </c>
      <c r="AI828" s="52"/>
    </row>
    <row r="829" spans="1:35" ht="12">
      <c r="A829" s="12"/>
      <c r="B829" s="12"/>
      <c r="C829" s="12"/>
      <c r="D829" s="12"/>
      <c r="E829" s="3"/>
      <c r="F829" s="103"/>
      <c r="G829" s="48" t="s">
        <v>834</v>
      </c>
      <c r="H829" s="91">
        <f>SUM(H818:H828)</f>
        <v>4384947.5</v>
      </c>
      <c r="I829" s="91">
        <f aca="true" t="shared" si="110" ref="I829:O829">SUM(I818:I828)</f>
        <v>0</v>
      </c>
      <c r="J829" s="91">
        <f>SUM(J818:J828)</f>
        <v>3657233</v>
      </c>
      <c r="K829" s="91">
        <f t="shared" si="110"/>
        <v>0</v>
      </c>
      <c r="L829" s="91">
        <f t="shared" si="110"/>
        <v>8042180.5</v>
      </c>
      <c r="M829" s="508">
        <f>SUM(M818:M828)</f>
        <v>2379619.49</v>
      </c>
      <c r="N829" s="508"/>
      <c r="O829" s="508">
        <f t="shared" si="110"/>
        <v>2782422.04</v>
      </c>
      <c r="P829" s="387"/>
      <c r="Q829" s="387">
        <f>SUM(Q818:Q828)</f>
        <v>828800</v>
      </c>
      <c r="R829" s="435">
        <f t="shared" si="109"/>
        <v>54.267912899755366</v>
      </c>
      <c r="S829" s="52"/>
      <c r="T829" s="52"/>
      <c r="V829" s="52">
        <f t="shared" si="107"/>
        <v>1176528.0099999998</v>
      </c>
      <c r="AB829" s="52"/>
      <c r="AI829" s="52"/>
    </row>
    <row r="830" spans="1:35" ht="12">
      <c r="A830" s="148"/>
      <c r="B830" s="13"/>
      <c r="C830" s="13"/>
      <c r="D830" s="13"/>
      <c r="E830" s="15"/>
      <c r="F830" s="105"/>
      <c r="G830" s="39" t="s">
        <v>691</v>
      </c>
      <c r="H830" s="415"/>
      <c r="I830" s="415"/>
      <c r="J830" s="415"/>
      <c r="K830" s="415"/>
      <c r="L830" s="415"/>
      <c r="M830" s="61"/>
      <c r="N830" s="61"/>
      <c r="O830" s="61"/>
      <c r="P830" s="61"/>
      <c r="Q830" s="61"/>
      <c r="R830" s="438"/>
      <c r="S830" s="52"/>
      <c r="T830" s="52"/>
      <c r="V830" s="52">
        <f t="shared" si="107"/>
        <v>0</v>
      </c>
      <c r="AI830" s="52"/>
    </row>
    <row r="831" spans="1:35" ht="12">
      <c r="A831" s="149"/>
      <c r="B831" s="2"/>
      <c r="C831" s="2"/>
      <c r="D831" s="2"/>
      <c r="E831" s="5"/>
      <c r="F831" s="151" t="s">
        <v>73</v>
      </c>
      <c r="G831" s="20" t="s">
        <v>674</v>
      </c>
      <c r="H831" s="10">
        <f>+H829</f>
        <v>4384947.5</v>
      </c>
      <c r="I831" s="10"/>
      <c r="J831" s="10"/>
      <c r="K831" s="10"/>
      <c r="L831" s="10"/>
      <c r="M831" s="62">
        <f>+M829</f>
        <v>2379619.49</v>
      </c>
      <c r="N831" s="62"/>
      <c r="O831" s="62"/>
      <c r="P831" s="62"/>
      <c r="Q831" s="62"/>
      <c r="R831" s="439"/>
      <c r="S831" s="52"/>
      <c r="T831" s="52"/>
      <c r="V831" s="52">
        <f t="shared" si="107"/>
        <v>2005328.0099999998</v>
      </c>
      <c r="AC831" s="52"/>
      <c r="AD831" s="52"/>
      <c r="AI831" s="52"/>
    </row>
    <row r="832" spans="1:35" ht="12">
      <c r="A832" s="149"/>
      <c r="B832" s="2"/>
      <c r="C832" s="2"/>
      <c r="D832" s="2"/>
      <c r="E832" s="5"/>
      <c r="F832" s="151"/>
      <c r="G832" s="20" t="s">
        <v>909</v>
      </c>
      <c r="H832" s="10">
        <v>2369000</v>
      </c>
      <c r="I832" s="10"/>
      <c r="J832" s="66"/>
      <c r="K832" s="10"/>
      <c r="L832" s="71"/>
      <c r="M832" s="62"/>
      <c r="N832" s="62"/>
      <c r="O832" s="62"/>
      <c r="P832" s="62"/>
      <c r="Q832" s="62"/>
      <c r="R832" s="439"/>
      <c r="S832" s="52"/>
      <c r="T832" s="52"/>
      <c r="V832" s="52">
        <f t="shared" si="107"/>
        <v>2369000</v>
      </c>
      <c r="AI832" s="52"/>
    </row>
    <row r="833" spans="1:35" ht="12">
      <c r="A833" s="149"/>
      <c r="B833" s="2"/>
      <c r="C833" s="2"/>
      <c r="D833" s="2"/>
      <c r="E833" s="5"/>
      <c r="F833" s="151" t="s">
        <v>413</v>
      </c>
      <c r="G833" s="20" t="s">
        <v>767</v>
      </c>
      <c r="H833" s="10"/>
      <c r="I833" s="10"/>
      <c r="J833" s="10">
        <f>+J829</f>
        <v>3657233</v>
      </c>
      <c r="K833" s="10"/>
      <c r="L833" s="71"/>
      <c r="M833" s="62"/>
      <c r="N833" s="62"/>
      <c r="O833" s="62">
        <f>+O829</f>
        <v>2782422.04</v>
      </c>
      <c r="P833" s="62"/>
      <c r="Q833" s="62"/>
      <c r="R833" s="439"/>
      <c r="S833" s="52"/>
      <c r="T833" s="52"/>
      <c r="V833" s="52">
        <f t="shared" si="107"/>
        <v>0</v>
      </c>
      <c r="AI833" s="52"/>
    </row>
    <row r="834" spans="1:35" ht="12">
      <c r="A834" s="149"/>
      <c r="B834" s="2"/>
      <c r="C834" s="2"/>
      <c r="D834" s="2"/>
      <c r="E834" s="5"/>
      <c r="F834" s="151"/>
      <c r="G834" s="1" t="s">
        <v>692</v>
      </c>
      <c r="H834" s="10"/>
      <c r="I834" s="10"/>
      <c r="J834" s="10"/>
      <c r="K834" s="10"/>
      <c r="L834" s="10">
        <f>+H831+J833</f>
        <v>8042180.5</v>
      </c>
      <c r="M834" s="62"/>
      <c r="N834" s="62"/>
      <c r="O834" s="62"/>
      <c r="P834" s="62"/>
      <c r="Q834" s="62"/>
      <c r="R834" s="439"/>
      <c r="S834" s="52"/>
      <c r="T834" s="52"/>
      <c r="V834" s="52">
        <f t="shared" si="107"/>
        <v>0</v>
      </c>
      <c r="AI834" s="52"/>
    </row>
    <row r="835" spans="1:35" ht="12">
      <c r="A835" s="149"/>
      <c r="B835" s="2"/>
      <c r="C835" s="2"/>
      <c r="D835" s="2"/>
      <c r="E835" s="5"/>
      <c r="F835" s="151"/>
      <c r="G835" s="1" t="s">
        <v>870</v>
      </c>
      <c r="H835" s="10"/>
      <c r="I835" s="10"/>
      <c r="J835" s="10"/>
      <c r="K835" s="10"/>
      <c r="L835" s="10"/>
      <c r="M835" s="62"/>
      <c r="N835" s="62"/>
      <c r="O835" s="62"/>
      <c r="P835" s="62"/>
      <c r="Q835" s="62"/>
      <c r="R835" s="439"/>
      <c r="S835" s="52"/>
      <c r="T835" s="52"/>
      <c r="V835" s="52">
        <f t="shared" si="107"/>
        <v>0</v>
      </c>
      <c r="AI835" s="52"/>
    </row>
    <row r="836" spans="1:35" ht="12">
      <c r="A836" s="149"/>
      <c r="B836" s="2"/>
      <c r="C836" s="2"/>
      <c r="D836" s="2"/>
      <c r="E836" s="5"/>
      <c r="F836" s="151" t="s">
        <v>73</v>
      </c>
      <c r="G836" s="20" t="s">
        <v>674</v>
      </c>
      <c r="H836" s="10">
        <f>+H831</f>
        <v>4384947.5</v>
      </c>
      <c r="I836" s="10"/>
      <c r="J836" s="10"/>
      <c r="K836" s="10"/>
      <c r="L836" s="10"/>
      <c r="M836" s="62">
        <f>+M831</f>
        <v>2379619.49</v>
      </c>
      <c r="N836" s="62"/>
      <c r="O836" s="62"/>
      <c r="P836" s="62"/>
      <c r="Q836" s="62"/>
      <c r="R836" s="439"/>
      <c r="S836" s="52"/>
      <c r="T836" s="52"/>
      <c r="V836" s="52">
        <f t="shared" si="107"/>
        <v>2005328.0099999998</v>
      </c>
      <c r="AI836" s="52"/>
    </row>
    <row r="837" spans="1:35" ht="12">
      <c r="A837" s="149"/>
      <c r="B837" s="2"/>
      <c r="C837" s="2"/>
      <c r="D837" s="2"/>
      <c r="E837" s="5"/>
      <c r="F837" s="151" t="s">
        <v>413</v>
      </c>
      <c r="G837" s="20" t="s">
        <v>767</v>
      </c>
      <c r="H837" s="10"/>
      <c r="I837" s="10"/>
      <c r="J837" s="10">
        <f>+J833</f>
        <v>3657233</v>
      </c>
      <c r="K837" s="10"/>
      <c r="L837" s="10"/>
      <c r="M837" s="62"/>
      <c r="N837" s="62"/>
      <c r="O837" s="62">
        <f>+O833</f>
        <v>2782422.04</v>
      </c>
      <c r="P837" s="62"/>
      <c r="Q837" s="62"/>
      <c r="R837" s="439"/>
      <c r="S837" s="52"/>
      <c r="T837" s="52"/>
      <c r="V837" s="52">
        <f t="shared" si="107"/>
        <v>0</v>
      </c>
      <c r="AI837" s="52"/>
    </row>
    <row r="838" spans="1:35" ht="12">
      <c r="A838" s="150"/>
      <c r="B838" s="40"/>
      <c r="C838" s="40"/>
      <c r="D838" s="40"/>
      <c r="E838" s="19"/>
      <c r="F838" s="123"/>
      <c r="G838" s="90" t="s">
        <v>835</v>
      </c>
      <c r="H838" s="407"/>
      <c r="I838" s="407"/>
      <c r="J838" s="407"/>
      <c r="K838" s="407"/>
      <c r="L838" s="407">
        <f>H836+J837</f>
        <v>8042180.5</v>
      </c>
      <c r="M838" s="53"/>
      <c r="N838" s="53"/>
      <c r="O838" s="53"/>
      <c r="P838" s="53"/>
      <c r="Q838" s="53"/>
      <c r="R838" s="543">
        <f>+O837+M836</f>
        <v>5162041.53</v>
      </c>
      <c r="S838" s="52"/>
      <c r="T838" s="52"/>
      <c r="V838" s="52">
        <f t="shared" si="107"/>
        <v>0</v>
      </c>
      <c r="AI838" s="52"/>
    </row>
    <row r="839" spans="1:35" ht="12">
      <c r="A839" s="88"/>
      <c r="B839" s="88"/>
      <c r="C839" s="88"/>
      <c r="D839" s="88"/>
      <c r="E839" s="82"/>
      <c r="F839" s="153"/>
      <c r="G839" s="93"/>
      <c r="H839" s="399"/>
      <c r="I839" s="399"/>
      <c r="J839" s="399"/>
      <c r="K839" s="399"/>
      <c r="L839" s="399"/>
      <c r="M839" s="86"/>
      <c r="N839" s="86"/>
      <c r="O839" s="86"/>
      <c r="P839" s="86"/>
      <c r="Q839" s="86"/>
      <c r="R839" s="435"/>
      <c r="S839" s="52"/>
      <c r="T839" s="52"/>
      <c r="V839" s="52">
        <f t="shared" si="107"/>
        <v>0</v>
      </c>
      <c r="AI839" s="52"/>
    </row>
    <row r="840" spans="1:35" ht="12">
      <c r="A840" s="80"/>
      <c r="B840" s="80"/>
      <c r="C840" s="535" t="s">
        <v>341</v>
      </c>
      <c r="D840" s="88"/>
      <c r="E840" s="83"/>
      <c r="F840" s="142"/>
      <c r="G840" s="82" t="s">
        <v>899</v>
      </c>
      <c r="H840" s="399"/>
      <c r="I840" s="420"/>
      <c r="J840" s="420"/>
      <c r="K840" s="420"/>
      <c r="L840" s="420"/>
      <c r="M840" s="86"/>
      <c r="N840" s="86"/>
      <c r="O840" s="86"/>
      <c r="P840" s="86"/>
      <c r="Q840" s="86"/>
      <c r="R840" s="435"/>
      <c r="S840" s="52"/>
      <c r="T840" s="52"/>
      <c r="V840" s="52">
        <f t="shared" si="107"/>
        <v>0</v>
      </c>
      <c r="AI840" s="52"/>
    </row>
    <row r="841" spans="1:35" ht="12">
      <c r="A841" s="80"/>
      <c r="B841" s="80"/>
      <c r="C841" s="80"/>
      <c r="D841" s="89">
        <v>130</v>
      </c>
      <c r="E841" s="83"/>
      <c r="F841" s="142"/>
      <c r="G841" s="82" t="s">
        <v>775</v>
      </c>
      <c r="H841" s="399"/>
      <c r="I841" s="420"/>
      <c r="J841" s="420"/>
      <c r="K841" s="420"/>
      <c r="L841" s="420"/>
      <c r="M841" s="86"/>
      <c r="N841" s="86"/>
      <c r="O841" s="86"/>
      <c r="P841" s="86"/>
      <c r="Q841" s="86"/>
      <c r="R841" s="435"/>
      <c r="S841" s="52"/>
      <c r="T841" s="52"/>
      <c r="V841" s="52">
        <f t="shared" si="107"/>
        <v>0</v>
      </c>
      <c r="AI841" s="52"/>
    </row>
    <row r="842" spans="1:35" ht="12">
      <c r="A842" s="80">
        <f>+A828+1</f>
        <v>205</v>
      </c>
      <c r="B842" s="80"/>
      <c r="C842" s="80"/>
      <c r="D842" s="89"/>
      <c r="E842" s="85">
        <v>421</v>
      </c>
      <c r="F842" s="112"/>
      <c r="G842" s="83" t="s">
        <v>567</v>
      </c>
      <c r="H842" s="399">
        <v>135000</v>
      </c>
      <c r="I842" s="420"/>
      <c r="J842" s="420"/>
      <c r="K842" s="420"/>
      <c r="L842" s="386">
        <f>+H842+I842+J842+K842</f>
        <v>135000</v>
      </c>
      <c r="M842" s="86">
        <v>63601.79</v>
      </c>
      <c r="N842" s="86"/>
      <c r="O842" s="86"/>
      <c r="P842" s="86"/>
      <c r="Q842" s="86"/>
      <c r="R842" s="435">
        <f aca="true" t="shared" si="111" ref="R842:R848">+M842/H842*100</f>
        <v>47.11243703703703</v>
      </c>
      <c r="S842" s="52"/>
      <c r="T842" s="52"/>
      <c r="V842" s="52">
        <f t="shared" si="107"/>
        <v>71398.20999999999</v>
      </c>
      <c r="AI842" s="52"/>
    </row>
    <row r="843" spans="1:35" ht="12">
      <c r="A843" s="80">
        <f>A842+1</f>
        <v>206</v>
      </c>
      <c r="B843" s="80"/>
      <c r="C843" s="80"/>
      <c r="D843" s="89"/>
      <c r="E843" s="85">
        <v>423</v>
      </c>
      <c r="F843" s="112"/>
      <c r="G843" s="83" t="s">
        <v>539</v>
      </c>
      <c r="H843" s="399">
        <v>153000</v>
      </c>
      <c r="I843" s="420"/>
      <c r="J843" s="420"/>
      <c r="K843" s="420"/>
      <c r="L843" s="386">
        <f>+H843+I843+J843+K843</f>
        <v>153000</v>
      </c>
      <c r="M843" s="86">
        <v>0</v>
      </c>
      <c r="N843" s="86"/>
      <c r="O843" s="86"/>
      <c r="P843" s="86"/>
      <c r="Q843" s="86"/>
      <c r="R843" s="435">
        <f t="shared" si="111"/>
        <v>0</v>
      </c>
      <c r="S843" s="52"/>
      <c r="T843" s="52"/>
      <c r="V843" s="52">
        <f t="shared" si="107"/>
        <v>153000</v>
      </c>
      <c r="AI843" s="52"/>
    </row>
    <row r="844" spans="1:35" ht="12">
      <c r="A844" s="80">
        <f>+A843+1</f>
        <v>207</v>
      </c>
      <c r="B844" s="80"/>
      <c r="C844" s="80"/>
      <c r="D844" s="89"/>
      <c r="E844" s="85">
        <v>424</v>
      </c>
      <c r="F844" s="112"/>
      <c r="G844" s="83" t="s">
        <v>554</v>
      </c>
      <c r="H844" s="399">
        <f>21000+S844</f>
        <v>201900</v>
      </c>
      <c r="I844" s="420"/>
      <c r="J844" s="420"/>
      <c r="K844" s="420"/>
      <c r="L844" s="386">
        <f>+H844+I844+J844+K844</f>
        <v>201900</v>
      </c>
      <c r="M844" s="86">
        <v>201900</v>
      </c>
      <c r="N844" s="86"/>
      <c r="O844" s="86"/>
      <c r="P844" s="86"/>
      <c r="Q844" s="86"/>
      <c r="R844" s="435">
        <f t="shared" si="111"/>
        <v>100</v>
      </c>
      <c r="S844" s="52">
        <v>180900</v>
      </c>
      <c r="T844" s="52"/>
      <c r="V844" s="52">
        <f t="shared" si="107"/>
        <v>0</v>
      </c>
      <c r="AI844" s="52"/>
    </row>
    <row r="845" spans="1:35" ht="12">
      <c r="A845" s="80">
        <f>+A844+1</f>
        <v>208</v>
      </c>
      <c r="B845" s="80"/>
      <c r="C845" s="80"/>
      <c r="D845" s="89"/>
      <c r="E845" s="85">
        <v>426</v>
      </c>
      <c r="F845" s="112"/>
      <c r="G845" s="83" t="s">
        <v>530</v>
      </c>
      <c r="H845" s="399">
        <f>372000+S845</f>
        <v>412000</v>
      </c>
      <c r="I845" s="420"/>
      <c r="J845" s="420"/>
      <c r="K845" s="420"/>
      <c r="L845" s="386">
        <f>+H845+I845+J845+K845</f>
        <v>412000</v>
      </c>
      <c r="M845" s="86">
        <v>220140.83</v>
      </c>
      <c r="N845" s="86"/>
      <c r="O845" s="86"/>
      <c r="P845" s="86"/>
      <c r="Q845" s="86"/>
      <c r="R845" s="435">
        <f t="shared" si="111"/>
        <v>53.43224029126213</v>
      </c>
      <c r="S845" s="52">
        <f>40000</f>
        <v>40000</v>
      </c>
      <c r="T845" s="52"/>
      <c r="V845" s="52">
        <f t="shared" si="107"/>
        <v>191859.17</v>
      </c>
      <c r="AI845" s="52"/>
    </row>
    <row r="846" spans="1:35" ht="12">
      <c r="A846" s="80" t="s">
        <v>419</v>
      </c>
      <c r="B846" s="80"/>
      <c r="C846" s="80"/>
      <c r="D846" s="89"/>
      <c r="E846" s="85">
        <v>482</v>
      </c>
      <c r="F846" s="112"/>
      <c r="G846" s="83" t="s">
        <v>836</v>
      </c>
      <c r="H846" s="399"/>
      <c r="I846" s="420"/>
      <c r="J846" s="420">
        <v>79645</v>
      </c>
      <c r="K846" s="420"/>
      <c r="L846" s="386">
        <f>J846</f>
        <v>79645</v>
      </c>
      <c r="M846" s="86"/>
      <c r="N846" s="86"/>
      <c r="O846" s="86"/>
      <c r="P846" s="86"/>
      <c r="Q846" s="86"/>
      <c r="R846" s="435"/>
      <c r="S846" s="52"/>
      <c r="T846" s="52"/>
      <c r="V846" s="52">
        <f t="shared" si="107"/>
        <v>0</v>
      </c>
      <c r="AI846" s="52"/>
    </row>
    <row r="847" spans="1:35" ht="12">
      <c r="A847" s="80">
        <f>+A845+1</f>
        <v>209</v>
      </c>
      <c r="B847" s="80"/>
      <c r="C847" s="80"/>
      <c r="D847" s="89"/>
      <c r="E847" s="85">
        <v>512</v>
      </c>
      <c r="F847" s="112"/>
      <c r="G847" s="83" t="s">
        <v>572</v>
      </c>
      <c r="H847" s="399">
        <v>130000</v>
      </c>
      <c r="I847" s="420"/>
      <c r="J847" s="420"/>
      <c r="K847" s="420"/>
      <c r="L847" s="386">
        <f>+H847+I847+J847+K847</f>
        <v>130000</v>
      </c>
      <c r="M847" s="86">
        <v>0</v>
      </c>
      <c r="N847" s="86"/>
      <c r="O847" s="86"/>
      <c r="P847" s="86"/>
      <c r="Q847" s="86"/>
      <c r="R847" s="435">
        <f t="shared" si="111"/>
        <v>0</v>
      </c>
      <c r="S847" s="52"/>
      <c r="T847" s="52"/>
      <c r="V847" s="52">
        <f t="shared" si="107"/>
        <v>130000</v>
      </c>
      <c r="AI847" s="52"/>
    </row>
    <row r="848" spans="1:35" ht="12">
      <c r="A848" s="12"/>
      <c r="B848" s="12"/>
      <c r="C848" s="12"/>
      <c r="D848" s="12"/>
      <c r="E848" s="3"/>
      <c r="F848" s="103"/>
      <c r="G848" s="48" t="s">
        <v>837</v>
      </c>
      <c r="H848" s="91">
        <f aca="true" t="shared" si="112" ref="H848:M848">SUM(H842:H847)</f>
        <v>1031900</v>
      </c>
      <c r="I848" s="91">
        <f t="shared" si="112"/>
        <v>0</v>
      </c>
      <c r="J848" s="91">
        <f t="shared" si="112"/>
        <v>79645</v>
      </c>
      <c r="K848" s="91">
        <f t="shared" si="112"/>
        <v>0</v>
      </c>
      <c r="L848" s="91">
        <f t="shared" si="112"/>
        <v>1111545</v>
      </c>
      <c r="M848" s="508">
        <f t="shared" si="112"/>
        <v>485642.62</v>
      </c>
      <c r="N848" s="508"/>
      <c r="O848" s="508">
        <f>+SUM(O842:O847)</f>
        <v>0</v>
      </c>
      <c r="P848" s="130"/>
      <c r="Q848" s="130">
        <f>SUM(Q842:Q847)</f>
        <v>0</v>
      </c>
      <c r="R848" s="435">
        <f t="shared" si="111"/>
        <v>47.06295377459056</v>
      </c>
      <c r="S848" s="52"/>
      <c r="T848" s="52"/>
      <c r="V848" s="52">
        <f t="shared" si="107"/>
        <v>546257.38</v>
      </c>
      <c r="AB848" s="52"/>
      <c r="AI848" s="52"/>
    </row>
    <row r="849" spans="1:35" ht="12">
      <c r="A849" s="148"/>
      <c r="B849" s="13"/>
      <c r="C849" s="13"/>
      <c r="D849" s="13"/>
      <c r="E849" s="15"/>
      <c r="F849" s="105"/>
      <c r="G849" s="39" t="s">
        <v>691</v>
      </c>
      <c r="H849" s="415"/>
      <c r="I849" s="415"/>
      <c r="J849" s="415"/>
      <c r="K849" s="415"/>
      <c r="L849" s="415"/>
      <c r="M849" s="61"/>
      <c r="N849" s="61"/>
      <c r="O849" s="61"/>
      <c r="P849" s="61"/>
      <c r="Q849" s="61"/>
      <c r="R849" s="438"/>
      <c r="S849" s="52"/>
      <c r="T849" s="52"/>
      <c r="V849" s="52">
        <f t="shared" si="107"/>
        <v>0</v>
      </c>
      <c r="AI849" s="52"/>
    </row>
    <row r="850" spans="1:35" ht="12">
      <c r="A850" s="149"/>
      <c r="B850" s="2"/>
      <c r="C850" s="2"/>
      <c r="D850" s="2"/>
      <c r="E850" s="5"/>
      <c r="F850" s="151" t="s">
        <v>73</v>
      </c>
      <c r="G850" s="20" t="s">
        <v>674</v>
      </c>
      <c r="H850" s="10">
        <f>+H848</f>
        <v>1031900</v>
      </c>
      <c r="I850" s="10"/>
      <c r="J850" s="10"/>
      <c r="K850" s="10"/>
      <c r="L850" s="10"/>
      <c r="M850" s="62">
        <f>+M848</f>
        <v>485642.62</v>
      </c>
      <c r="N850" s="62"/>
      <c r="O850" s="62"/>
      <c r="P850" s="62"/>
      <c r="Q850" s="62"/>
      <c r="R850" s="439"/>
      <c r="S850" s="52"/>
      <c r="T850" s="52"/>
      <c r="V850" s="52">
        <f t="shared" si="107"/>
        <v>546257.38</v>
      </c>
      <c r="AC850" s="52"/>
      <c r="AD850" s="52"/>
      <c r="AI850" s="52"/>
    </row>
    <row r="851" spans="1:35" ht="12">
      <c r="A851" s="149"/>
      <c r="B851" s="2"/>
      <c r="C851" s="2"/>
      <c r="D851" s="2"/>
      <c r="E851" s="5"/>
      <c r="F851" s="151" t="s">
        <v>413</v>
      </c>
      <c r="G851" s="20" t="s">
        <v>767</v>
      </c>
      <c r="H851" s="10"/>
      <c r="I851" s="10"/>
      <c r="J851" s="10">
        <f>+J848</f>
        <v>79645</v>
      </c>
      <c r="K851" s="10"/>
      <c r="L851" s="10"/>
      <c r="M851" s="62"/>
      <c r="N851" s="62"/>
      <c r="O851" s="62">
        <f>+O848</f>
        <v>0</v>
      </c>
      <c r="P851" s="62"/>
      <c r="Q851" s="62"/>
      <c r="R851" s="439"/>
      <c r="S851" s="52"/>
      <c r="T851" s="52"/>
      <c r="V851" s="52">
        <f t="shared" si="107"/>
        <v>0</v>
      </c>
      <c r="AC851" s="52"/>
      <c r="AD851" s="52"/>
      <c r="AI851" s="52"/>
    </row>
    <row r="852" spans="1:35" ht="12">
      <c r="A852" s="149"/>
      <c r="B852" s="2"/>
      <c r="C852" s="2"/>
      <c r="D852" s="2"/>
      <c r="E852" s="5"/>
      <c r="F852" s="151"/>
      <c r="G852" s="1" t="s">
        <v>692</v>
      </c>
      <c r="H852" s="10"/>
      <c r="I852" s="10"/>
      <c r="J852" s="10"/>
      <c r="K852" s="10"/>
      <c r="L852" s="10">
        <f>+H850+J851</f>
        <v>1111545</v>
      </c>
      <c r="M852" s="62"/>
      <c r="N852" s="62"/>
      <c r="O852" s="62"/>
      <c r="P852" s="62"/>
      <c r="Q852" s="62"/>
      <c r="R852" s="439"/>
      <c r="S852" s="52"/>
      <c r="T852" s="52"/>
      <c r="V852" s="52">
        <f t="shared" si="107"/>
        <v>0</v>
      </c>
      <c r="AI852" s="52"/>
    </row>
    <row r="853" spans="1:35" ht="12">
      <c r="A853" s="149"/>
      <c r="B853" s="2"/>
      <c r="C853" s="2"/>
      <c r="D853" s="2"/>
      <c r="E853" s="5"/>
      <c r="F853" s="151"/>
      <c r="G853" s="1" t="s">
        <v>871</v>
      </c>
      <c r="H853" s="10"/>
      <c r="I853" s="10"/>
      <c r="J853" s="10"/>
      <c r="K853" s="10"/>
      <c r="L853" s="10"/>
      <c r="M853" s="62"/>
      <c r="N853" s="62"/>
      <c r="O853" s="62"/>
      <c r="P853" s="62"/>
      <c r="Q853" s="62"/>
      <c r="R853" s="439"/>
      <c r="S853" s="52"/>
      <c r="T853" s="52"/>
      <c r="V853" s="52">
        <f t="shared" si="107"/>
        <v>0</v>
      </c>
      <c r="AI853" s="52"/>
    </row>
    <row r="854" spans="1:35" ht="12">
      <c r="A854" s="149"/>
      <c r="B854" s="2"/>
      <c r="C854" s="2"/>
      <c r="D854" s="2"/>
      <c r="E854" s="5"/>
      <c r="F854" s="151" t="s">
        <v>73</v>
      </c>
      <c r="G854" s="20" t="s">
        <v>674</v>
      </c>
      <c r="H854" s="10">
        <f>+H850</f>
        <v>1031900</v>
      </c>
      <c r="I854" s="10"/>
      <c r="J854" s="10"/>
      <c r="K854" s="10"/>
      <c r="L854" s="10"/>
      <c r="M854" s="62">
        <f>+M850</f>
        <v>485642.62</v>
      </c>
      <c r="N854" s="62"/>
      <c r="O854" s="62"/>
      <c r="P854" s="62"/>
      <c r="Q854" s="62"/>
      <c r="R854" s="439"/>
      <c r="S854" s="52"/>
      <c r="T854" s="52"/>
      <c r="V854" s="52">
        <f t="shared" si="107"/>
        <v>546257.38</v>
      </c>
      <c r="AI854" s="52"/>
    </row>
    <row r="855" spans="1:35" ht="12">
      <c r="A855" s="149"/>
      <c r="B855" s="2"/>
      <c r="C855" s="2"/>
      <c r="D855" s="2"/>
      <c r="E855" s="5"/>
      <c r="F855" s="151" t="s">
        <v>413</v>
      </c>
      <c r="G855" s="20" t="s">
        <v>767</v>
      </c>
      <c r="H855" s="10"/>
      <c r="I855" s="10"/>
      <c r="J855" s="10">
        <f>+J851</f>
        <v>79645</v>
      </c>
      <c r="K855" s="10"/>
      <c r="L855" s="10"/>
      <c r="M855" s="62"/>
      <c r="N855" s="62"/>
      <c r="O855" s="62">
        <f>+O851</f>
        <v>0</v>
      </c>
      <c r="P855" s="62"/>
      <c r="Q855" s="62"/>
      <c r="R855" s="439"/>
      <c r="S855" s="52"/>
      <c r="T855" s="52"/>
      <c r="V855" s="52">
        <f t="shared" si="107"/>
        <v>0</v>
      </c>
      <c r="AI855" s="52"/>
    </row>
    <row r="856" spans="1:35" ht="12">
      <c r="A856" s="150"/>
      <c r="B856" s="40"/>
      <c r="C856" s="40"/>
      <c r="D856" s="40"/>
      <c r="E856" s="19"/>
      <c r="F856" s="123"/>
      <c r="G856" s="90" t="s">
        <v>838</v>
      </c>
      <c r="H856" s="407"/>
      <c r="I856" s="407"/>
      <c r="J856" s="407"/>
      <c r="K856" s="407"/>
      <c r="L856" s="407">
        <f>+H854+J855</f>
        <v>1111545</v>
      </c>
      <c r="M856" s="53"/>
      <c r="N856" s="53"/>
      <c r="O856" s="53"/>
      <c r="P856" s="53"/>
      <c r="Q856" s="53"/>
      <c r="R856" s="543">
        <f>+O855+M854</f>
        <v>485642.62</v>
      </c>
      <c r="S856" s="52"/>
      <c r="T856" s="52"/>
      <c r="V856" s="52">
        <f t="shared" si="107"/>
        <v>0</v>
      </c>
      <c r="AI856" s="52"/>
    </row>
    <row r="857" spans="1:35" ht="12">
      <c r="A857" s="88"/>
      <c r="B857" s="88"/>
      <c r="C857" s="88"/>
      <c r="D857" s="88"/>
      <c r="E857" s="82"/>
      <c r="F857" s="153"/>
      <c r="G857" s="93"/>
      <c r="H857" s="399"/>
      <c r="I857" s="399"/>
      <c r="J857" s="399"/>
      <c r="K857" s="399"/>
      <c r="L857" s="399"/>
      <c r="M857" s="86"/>
      <c r="N857" s="86"/>
      <c r="O857" s="86"/>
      <c r="P857" s="86"/>
      <c r="Q857" s="86"/>
      <c r="R857" s="435"/>
      <c r="S857" s="52"/>
      <c r="T857" s="52"/>
      <c r="V857" s="52">
        <f aca="true" t="shared" si="113" ref="V857:V920">+H857-(M857+Q857)</f>
        <v>0</v>
      </c>
      <c r="AI857" s="52"/>
    </row>
    <row r="858" spans="1:35" ht="12">
      <c r="A858" s="80"/>
      <c r="B858" s="80"/>
      <c r="C858" s="535" t="s">
        <v>342</v>
      </c>
      <c r="D858" s="88"/>
      <c r="E858" s="83"/>
      <c r="F858" s="142"/>
      <c r="G858" s="82" t="s">
        <v>910</v>
      </c>
      <c r="H858" s="399"/>
      <c r="I858" s="420"/>
      <c r="J858" s="420"/>
      <c r="K858" s="420"/>
      <c r="L858" s="420"/>
      <c r="M858" s="86"/>
      <c r="N858" s="86"/>
      <c r="O858" s="86"/>
      <c r="P858" s="86"/>
      <c r="Q858" s="86"/>
      <c r="R858" s="435"/>
      <c r="S858" s="52"/>
      <c r="T858" s="52"/>
      <c r="V858" s="52">
        <f t="shared" si="113"/>
        <v>0</v>
      </c>
      <c r="AI858" s="52"/>
    </row>
    <row r="859" spans="1:35" ht="12">
      <c r="A859" s="80"/>
      <c r="B859" s="80"/>
      <c r="C859" s="80"/>
      <c r="D859" s="89">
        <v>130</v>
      </c>
      <c r="E859" s="83"/>
      <c r="F859" s="142"/>
      <c r="G859" s="82" t="s">
        <v>775</v>
      </c>
      <c r="H859" s="399"/>
      <c r="I859" s="420"/>
      <c r="J859" s="420"/>
      <c r="K859" s="420"/>
      <c r="L859" s="420"/>
      <c r="M859" s="86"/>
      <c r="N859" s="86"/>
      <c r="O859" s="86"/>
      <c r="P859" s="86"/>
      <c r="Q859" s="86"/>
      <c r="R859" s="435"/>
      <c r="S859" s="52"/>
      <c r="T859" s="52"/>
      <c r="V859" s="52">
        <f t="shared" si="113"/>
        <v>0</v>
      </c>
      <c r="AI859" s="52"/>
    </row>
    <row r="860" spans="1:35" ht="12">
      <c r="A860" s="80">
        <f>A847+1</f>
        <v>210</v>
      </c>
      <c r="B860" s="80"/>
      <c r="C860" s="80"/>
      <c r="D860" s="89"/>
      <c r="E860" s="85">
        <v>421</v>
      </c>
      <c r="F860" s="112"/>
      <c r="G860" s="83" t="s">
        <v>567</v>
      </c>
      <c r="H860" s="399">
        <v>210000</v>
      </c>
      <c r="I860" s="420"/>
      <c r="J860" s="420"/>
      <c r="K860" s="420"/>
      <c r="L860" s="386">
        <f aca="true" t="shared" si="114" ref="L860:L868">+H860+I860+J860+K860</f>
        <v>210000</v>
      </c>
      <c r="M860" s="86">
        <v>175841.19</v>
      </c>
      <c r="N860" s="86"/>
      <c r="O860" s="86"/>
      <c r="P860" s="86"/>
      <c r="Q860" s="86">
        <v>18682.82</v>
      </c>
      <c r="R860" s="435">
        <f>+M860/H860*100</f>
        <v>83.7339</v>
      </c>
      <c r="S860" s="52"/>
      <c r="T860" s="52"/>
      <c r="V860" s="52">
        <f t="shared" si="113"/>
        <v>15475.98999999999</v>
      </c>
      <c r="AI860" s="52"/>
    </row>
    <row r="861" spans="1:35" ht="12">
      <c r="A861" s="80">
        <f>A860+1</f>
        <v>211</v>
      </c>
      <c r="B861" s="80"/>
      <c r="C861" s="80"/>
      <c r="D861" s="89"/>
      <c r="E861" s="85">
        <v>423</v>
      </c>
      <c r="F861" s="112"/>
      <c r="G861" s="83" t="s">
        <v>539</v>
      </c>
      <c r="H861" s="399">
        <f>10000+S861</f>
        <v>25000</v>
      </c>
      <c r="I861" s="420"/>
      <c r="J861" s="420">
        <v>18750</v>
      </c>
      <c r="K861" s="420"/>
      <c r="L861" s="386">
        <f t="shared" si="114"/>
        <v>43750</v>
      </c>
      <c r="M861" s="86">
        <v>23150</v>
      </c>
      <c r="N861" s="86"/>
      <c r="O861" s="86">
        <v>18750</v>
      </c>
      <c r="P861" s="86"/>
      <c r="Q861" s="86"/>
      <c r="R861" s="435">
        <f aca="true" t="shared" si="115" ref="R861:R869">+M861/H861*100</f>
        <v>92.60000000000001</v>
      </c>
      <c r="S861" s="52">
        <v>15000</v>
      </c>
      <c r="T861" s="52"/>
      <c r="V861" s="52">
        <f t="shared" si="113"/>
        <v>1850</v>
      </c>
      <c r="AI861" s="52"/>
    </row>
    <row r="862" spans="1:35" ht="12">
      <c r="A862" s="80" t="s">
        <v>377</v>
      </c>
      <c r="B862" s="80"/>
      <c r="C862" s="80"/>
      <c r="D862" s="89"/>
      <c r="E862" s="85">
        <v>424</v>
      </c>
      <c r="F862" s="112"/>
      <c r="G862" s="83" t="s">
        <v>554</v>
      </c>
      <c r="H862" s="399">
        <f>100000+150000</f>
        <v>250000</v>
      </c>
      <c r="I862" s="420"/>
      <c r="J862" s="420"/>
      <c r="K862" s="420"/>
      <c r="L862" s="386">
        <f t="shared" si="114"/>
        <v>250000</v>
      </c>
      <c r="M862" s="86">
        <v>92860</v>
      </c>
      <c r="N862" s="86"/>
      <c r="O862" s="86"/>
      <c r="P862" s="86"/>
      <c r="Q862" s="86"/>
      <c r="R862" s="435">
        <f t="shared" si="115"/>
        <v>37.144</v>
      </c>
      <c r="S862" s="52"/>
      <c r="T862" s="52"/>
      <c r="V862" s="52">
        <f t="shared" si="113"/>
        <v>157140</v>
      </c>
      <c r="AI862" s="52"/>
    </row>
    <row r="863" spans="1:35" ht="12">
      <c r="A863" s="80">
        <f>A861+1</f>
        <v>212</v>
      </c>
      <c r="B863" s="80"/>
      <c r="C863" s="80"/>
      <c r="D863" s="89"/>
      <c r="E863" s="85">
        <v>425</v>
      </c>
      <c r="F863" s="112"/>
      <c r="G863" s="83" t="s">
        <v>540</v>
      </c>
      <c r="H863" s="399">
        <f>760000+375000+S863+T863</f>
        <v>1411840</v>
      </c>
      <c r="I863" s="420"/>
      <c r="J863" s="420"/>
      <c r="K863" s="420"/>
      <c r="L863" s="386">
        <f t="shared" si="114"/>
        <v>1411840</v>
      </c>
      <c r="M863" s="86">
        <v>1250006.65</v>
      </c>
      <c r="N863" s="86"/>
      <c r="O863" s="86"/>
      <c r="P863" s="86"/>
      <c r="Q863" s="86">
        <v>101800</v>
      </c>
      <c r="R863" s="435">
        <f t="shared" si="115"/>
        <v>88.53741571282863</v>
      </c>
      <c r="S863" s="52">
        <f>246840</f>
        <v>246840</v>
      </c>
      <c r="T863" s="52">
        <v>30000</v>
      </c>
      <c r="V863" s="52">
        <f t="shared" si="113"/>
        <v>60033.35000000009</v>
      </c>
      <c r="AI863" s="52"/>
    </row>
    <row r="864" spans="1:35" ht="12">
      <c r="A864" s="80">
        <f>A863+1</f>
        <v>213</v>
      </c>
      <c r="B864" s="80"/>
      <c r="C864" s="80"/>
      <c r="D864" s="89"/>
      <c r="E864" s="85">
        <v>426</v>
      </c>
      <c r="F864" s="112"/>
      <c r="G864" s="83" t="s">
        <v>530</v>
      </c>
      <c r="H864" s="399">
        <f>335000+55000+S864+T864</f>
        <v>545500</v>
      </c>
      <c r="I864" s="420"/>
      <c r="J864" s="420">
        <v>182725</v>
      </c>
      <c r="K864" s="420"/>
      <c r="L864" s="386">
        <f t="shared" si="114"/>
        <v>728225</v>
      </c>
      <c r="M864" s="86">
        <v>494881.6</v>
      </c>
      <c r="N864" s="86"/>
      <c r="O864" s="86">
        <v>117097.27</v>
      </c>
      <c r="P864" s="86"/>
      <c r="Q864" s="86"/>
      <c r="R864" s="435">
        <f t="shared" si="115"/>
        <v>90.7207332722273</v>
      </c>
      <c r="S864" s="52">
        <f>40000+40000+15000+29000</f>
        <v>124000</v>
      </c>
      <c r="T864" s="52">
        <v>31500</v>
      </c>
      <c r="V864" s="52">
        <f t="shared" si="113"/>
        <v>50618.40000000002</v>
      </c>
      <c r="AI864" s="52"/>
    </row>
    <row r="865" spans="1:35" ht="12">
      <c r="A865" s="80" t="s">
        <v>416</v>
      </c>
      <c r="B865" s="80"/>
      <c r="C865" s="80"/>
      <c r="D865" s="89"/>
      <c r="E865" s="85">
        <v>4819</v>
      </c>
      <c r="F865" s="112"/>
      <c r="G865" s="83" t="s">
        <v>700</v>
      </c>
      <c r="H865" s="399">
        <v>230000</v>
      </c>
      <c r="I865" s="420"/>
      <c r="J865" s="420"/>
      <c r="K865" s="420"/>
      <c r="L865" s="386">
        <v>230000</v>
      </c>
      <c r="M865" s="86">
        <v>185000</v>
      </c>
      <c r="N865" s="86"/>
      <c r="O865" s="86"/>
      <c r="P865" s="86"/>
      <c r="Q865" s="86"/>
      <c r="R865" s="435">
        <f t="shared" si="115"/>
        <v>80.43478260869566</v>
      </c>
      <c r="S865" s="52"/>
      <c r="T865" s="52"/>
      <c r="V865" s="52">
        <f t="shared" si="113"/>
        <v>45000</v>
      </c>
      <c r="AI865" s="52"/>
    </row>
    <row r="866" spans="1:35" ht="24">
      <c r="A866" s="80" t="s">
        <v>378</v>
      </c>
      <c r="B866" s="80"/>
      <c r="C866" s="80"/>
      <c r="D866" s="89"/>
      <c r="E866" s="85">
        <v>482</v>
      </c>
      <c r="F866" s="112"/>
      <c r="G866" s="450" t="s">
        <v>839</v>
      </c>
      <c r="H866" s="399">
        <v>0</v>
      </c>
      <c r="I866" s="420"/>
      <c r="J866" s="420"/>
      <c r="K866" s="420"/>
      <c r="L866" s="386">
        <f t="shared" si="114"/>
        <v>0</v>
      </c>
      <c r="M866" s="86">
        <v>60000</v>
      </c>
      <c r="N866" s="86"/>
      <c r="O866" s="86"/>
      <c r="P866" s="86"/>
      <c r="Q866" s="86"/>
      <c r="R866" s="435">
        <v>0</v>
      </c>
      <c r="S866" s="52"/>
      <c r="T866" s="52"/>
      <c r="V866" s="52">
        <f t="shared" si="113"/>
        <v>-60000</v>
      </c>
      <c r="AI866" s="52"/>
    </row>
    <row r="867" spans="1:35" ht="12">
      <c r="A867" s="80">
        <f>A864+1</f>
        <v>214</v>
      </c>
      <c r="B867" s="80"/>
      <c r="C867" s="80"/>
      <c r="D867" s="89"/>
      <c r="E867" s="85">
        <v>511</v>
      </c>
      <c r="F867" s="112"/>
      <c r="G867" s="83" t="s">
        <v>534</v>
      </c>
      <c r="H867" s="399">
        <f>1225000-600000+S867+T867</f>
        <v>1198022.3</v>
      </c>
      <c r="I867" s="420"/>
      <c r="J867" s="420"/>
      <c r="K867" s="420"/>
      <c r="L867" s="386">
        <f t="shared" si="114"/>
        <v>1198022.3</v>
      </c>
      <c r="M867" s="86">
        <v>977456.8</v>
      </c>
      <c r="N867" s="86"/>
      <c r="O867" s="86"/>
      <c r="P867" s="86"/>
      <c r="Q867" s="86"/>
      <c r="R867" s="435">
        <f t="shared" si="115"/>
        <v>81.5891991326038</v>
      </c>
      <c r="S867" s="52">
        <f>300000+49000+100000+285522.3-100000</f>
        <v>634522.3</v>
      </c>
      <c r="T867" s="52">
        <v>-61500</v>
      </c>
      <c r="V867" s="52">
        <f t="shared" si="113"/>
        <v>220565.5</v>
      </c>
      <c r="AI867" s="52"/>
    </row>
    <row r="868" spans="1:35" ht="12">
      <c r="A868" s="80">
        <f>A867+1</f>
        <v>215</v>
      </c>
      <c r="B868" s="80"/>
      <c r="C868" s="80"/>
      <c r="D868" s="89"/>
      <c r="E868" s="85">
        <v>512</v>
      </c>
      <c r="F868" s="112"/>
      <c r="G868" s="83" t="s">
        <v>572</v>
      </c>
      <c r="H868" s="399">
        <f>260000-185000</f>
        <v>75000</v>
      </c>
      <c r="I868" s="420"/>
      <c r="J868" s="420"/>
      <c r="K868" s="420"/>
      <c r="L868" s="386">
        <f t="shared" si="114"/>
        <v>75000</v>
      </c>
      <c r="M868" s="86">
        <v>73421.34</v>
      </c>
      <c r="N868" s="86"/>
      <c r="O868" s="86"/>
      <c r="P868" s="86"/>
      <c r="Q868" s="86"/>
      <c r="R868" s="435">
        <f t="shared" si="115"/>
        <v>97.89511999999999</v>
      </c>
      <c r="S868" s="52"/>
      <c r="T868" s="52"/>
      <c r="V868" s="52">
        <f t="shared" si="113"/>
        <v>1578.6600000000035</v>
      </c>
      <c r="AI868" s="52"/>
    </row>
    <row r="869" spans="1:35" ht="12">
      <c r="A869" s="12"/>
      <c r="B869" s="12"/>
      <c r="C869" s="12"/>
      <c r="D869" s="12"/>
      <c r="E869" s="3"/>
      <c r="F869" s="103"/>
      <c r="G869" s="48" t="s">
        <v>840</v>
      </c>
      <c r="H869" s="91">
        <f aca="true" t="shared" si="116" ref="H869:O869">SUM(H860:H868)</f>
        <v>3945362.3</v>
      </c>
      <c r="I869" s="91">
        <f t="shared" si="116"/>
        <v>0</v>
      </c>
      <c r="J869" s="91">
        <f>SUM(J860:J868)</f>
        <v>201475</v>
      </c>
      <c r="K869" s="91">
        <f t="shared" si="116"/>
        <v>0</v>
      </c>
      <c r="L869" s="91">
        <f t="shared" si="116"/>
        <v>4146837.3</v>
      </c>
      <c r="M869" s="508">
        <f t="shared" si="116"/>
        <v>3332617.58</v>
      </c>
      <c r="N869" s="508"/>
      <c r="O869" s="508">
        <f t="shared" si="116"/>
        <v>135847.27000000002</v>
      </c>
      <c r="P869" s="130"/>
      <c r="Q869" s="130">
        <f>SUM(Q860:Q868)</f>
        <v>120482.82</v>
      </c>
      <c r="R869" s="435">
        <f t="shared" si="115"/>
        <v>84.46924075895387</v>
      </c>
      <c r="S869" s="52"/>
      <c r="T869" s="52"/>
      <c r="V869" s="52">
        <f t="shared" si="113"/>
        <v>492261.8999999999</v>
      </c>
      <c r="AB869" s="52"/>
      <c r="AI869" s="52"/>
    </row>
    <row r="870" spans="1:35" ht="12">
      <c r="A870" s="148"/>
      <c r="B870" s="13"/>
      <c r="C870" s="13"/>
      <c r="D870" s="13"/>
      <c r="E870" s="15"/>
      <c r="F870" s="105"/>
      <c r="G870" s="39" t="s">
        <v>691</v>
      </c>
      <c r="H870" s="415"/>
      <c r="I870" s="415"/>
      <c r="J870" s="415"/>
      <c r="K870" s="415"/>
      <c r="L870" s="415"/>
      <c r="M870" s="61"/>
      <c r="N870" s="61"/>
      <c r="O870" s="61"/>
      <c r="P870" s="61"/>
      <c r="Q870" s="61"/>
      <c r="R870" s="438"/>
      <c r="S870" s="52"/>
      <c r="T870" s="52"/>
      <c r="V870" s="52">
        <f t="shared" si="113"/>
        <v>0</v>
      </c>
      <c r="AI870" s="52"/>
    </row>
    <row r="871" spans="1:35" ht="12">
      <c r="A871" s="149"/>
      <c r="B871" s="2"/>
      <c r="C871" s="2"/>
      <c r="D871" s="2"/>
      <c r="E871" s="5"/>
      <c r="F871" s="151" t="s">
        <v>73</v>
      </c>
      <c r="G871" s="20" t="s">
        <v>674</v>
      </c>
      <c r="H871" s="10">
        <f>+H869</f>
        <v>3945362.3</v>
      </c>
      <c r="I871" s="10"/>
      <c r="J871" s="10"/>
      <c r="K871" s="10"/>
      <c r="L871" s="10"/>
      <c r="M871" s="62">
        <f>+M869</f>
        <v>3332617.58</v>
      </c>
      <c r="N871" s="62"/>
      <c r="O871" s="62"/>
      <c r="P871" s="62"/>
      <c r="Q871" s="62"/>
      <c r="R871" s="439"/>
      <c r="S871" s="52"/>
      <c r="T871" s="52"/>
      <c r="V871" s="52">
        <f t="shared" si="113"/>
        <v>612744.7199999997</v>
      </c>
      <c r="AC871" s="52"/>
      <c r="AD871" s="52"/>
      <c r="AI871" s="52"/>
    </row>
    <row r="872" spans="1:35" ht="12">
      <c r="A872" s="149"/>
      <c r="B872" s="2"/>
      <c r="C872" s="2"/>
      <c r="D872" s="2"/>
      <c r="E872" s="5"/>
      <c r="F872" s="151"/>
      <c r="G872" s="20" t="s">
        <v>909</v>
      </c>
      <c r="H872" s="10">
        <v>2240000</v>
      </c>
      <c r="I872" s="10"/>
      <c r="J872" s="10"/>
      <c r="K872" s="10"/>
      <c r="M872" s="62"/>
      <c r="N872" s="62"/>
      <c r="O872" s="62"/>
      <c r="P872" s="62"/>
      <c r="Q872" s="62"/>
      <c r="R872" s="439"/>
      <c r="S872" s="52"/>
      <c r="T872" s="52"/>
      <c r="V872" s="52">
        <f t="shared" si="113"/>
        <v>2240000</v>
      </c>
      <c r="AI872" s="52"/>
    </row>
    <row r="873" spans="1:35" ht="12">
      <c r="A873" s="149"/>
      <c r="B873" s="2"/>
      <c r="C873" s="2"/>
      <c r="D873" s="2"/>
      <c r="E873" s="5"/>
      <c r="F873" s="151" t="s">
        <v>413</v>
      </c>
      <c r="G873" s="20" t="s">
        <v>767</v>
      </c>
      <c r="H873" s="10"/>
      <c r="I873" s="10"/>
      <c r="J873" s="10">
        <f>+J869</f>
        <v>201475</v>
      </c>
      <c r="K873" s="10"/>
      <c r="M873" s="62"/>
      <c r="N873" s="62"/>
      <c r="O873" s="62">
        <f>+O869</f>
        <v>135847.27000000002</v>
      </c>
      <c r="P873" s="62"/>
      <c r="Q873" s="62"/>
      <c r="R873" s="439"/>
      <c r="S873" s="52"/>
      <c r="T873" s="52"/>
      <c r="V873" s="52">
        <f t="shared" si="113"/>
        <v>0</v>
      </c>
      <c r="AI873" s="52"/>
    </row>
    <row r="874" spans="1:35" ht="12">
      <c r="A874" s="149"/>
      <c r="B874" s="2"/>
      <c r="C874" s="2"/>
      <c r="D874" s="2"/>
      <c r="E874" s="5"/>
      <c r="F874" s="151"/>
      <c r="G874" s="1" t="s">
        <v>692</v>
      </c>
      <c r="H874" s="10"/>
      <c r="I874" s="10"/>
      <c r="J874" s="10"/>
      <c r="K874" s="10"/>
      <c r="L874" s="10">
        <f>+H871+J873</f>
        <v>4146837.3</v>
      </c>
      <c r="M874" s="62"/>
      <c r="N874" s="62"/>
      <c r="O874" s="62"/>
      <c r="P874" s="62"/>
      <c r="Q874" s="62"/>
      <c r="R874" s="439"/>
      <c r="S874" s="52"/>
      <c r="T874" s="52"/>
      <c r="V874" s="52">
        <f t="shared" si="113"/>
        <v>0</v>
      </c>
      <c r="AI874" s="52"/>
    </row>
    <row r="875" spans="1:35" ht="12">
      <c r="A875" s="149"/>
      <c r="B875" s="2"/>
      <c r="C875" s="2"/>
      <c r="D875" s="2"/>
      <c r="E875" s="5"/>
      <c r="F875" s="151"/>
      <c r="G875" s="1" t="s">
        <v>872</v>
      </c>
      <c r="H875" s="10"/>
      <c r="I875" s="10"/>
      <c r="J875" s="10"/>
      <c r="K875" s="10"/>
      <c r="L875" s="10"/>
      <c r="M875" s="62"/>
      <c r="N875" s="62"/>
      <c r="O875" s="62"/>
      <c r="P875" s="62"/>
      <c r="Q875" s="62"/>
      <c r="R875" s="439"/>
      <c r="S875" s="52"/>
      <c r="T875" s="52"/>
      <c r="V875" s="52">
        <f t="shared" si="113"/>
        <v>0</v>
      </c>
      <c r="AI875" s="52"/>
    </row>
    <row r="876" spans="1:35" ht="12">
      <c r="A876" s="149"/>
      <c r="B876" s="2"/>
      <c r="C876" s="2"/>
      <c r="D876" s="2"/>
      <c r="E876" s="5"/>
      <c r="F876" s="151" t="s">
        <v>73</v>
      </c>
      <c r="G876" s="20" t="s">
        <v>674</v>
      </c>
      <c r="H876" s="10">
        <f>+H871</f>
        <v>3945362.3</v>
      </c>
      <c r="I876" s="10"/>
      <c r="J876" s="10"/>
      <c r="K876" s="10"/>
      <c r="L876" s="10"/>
      <c r="M876" s="62">
        <f>+M871</f>
        <v>3332617.58</v>
      </c>
      <c r="N876" s="62"/>
      <c r="O876" s="62"/>
      <c r="P876" s="62"/>
      <c r="Q876" s="62"/>
      <c r="R876" s="439"/>
      <c r="S876" s="52"/>
      <c r="T876" s="52"/>
      <c r="V876" s="52">
        <f t="shared" si="113"/>
        <v>612744.7199999997</v>
      </c>
      <c r="AI876" s="52"/>
    </row>
    <row r="877" spans="1:35" ht="12">
      <c r="A877" s="149"/>
      <c r="B877" s="2"/>
      <c r="C877" s="2"/>
      <c r="D877" s="2"/>
      <c r="E877" s="5"/>
      <c r="F877" s="151" t="s">
        <v>413</v>
      </c>
      <c r="G877" s="20" t="s">
        <v>767</v>
      </c>
      <c r="H877" s="10"/>
      <c r="I877" s="10"/>
      <c r="J877" s="10">
        <f>+J873</f>
        <v>201475</v>
      </c>
      <c r="K877" s="10"/>
      <c r="L877" s="10"/>
      <c r="M877" s="62"/>
      <c r="N877" s="62"/>
      <c r="O877" s="62">
        <f>+O873</f>
        <v>135847.27000000002</v>
      </c>
      <c r="P877" s="62"/>
      <c r="Q877" s="62"/>
      <c r="R877" s="439"/>
      <c r="S877" s="52"/>
      <c r="T877" s="52"/>
      <c r="V877" s="52">
        <f t="shared" si="113"/>
        <v>0</v>
      </c>
      <c r="AI877" s="52"/>
    </row>
    <row r="878" spans="1:35" ht="12">
      <c r="A878" s="150"/>
      <c r="B878" s="40"/>
      <c r="C878" s="40"/>
      <c r="D878" s="40"/>
      <c r="E878" s="19"/>
      <c r="F878" s="123"/>
      <c r="G878" s="90" t="s">
        <v>841</v>
      </c>
      <c r="H878" s="407"/>
      <c r="I878" s="407"/>
      <c r="J878" s="407"/>
      <c r="K878" s="407"/>
      <c r="L878" s="407">
        <f>+H876+J877</f>
        <v>4146837.3</v>
      </c>
      <c r="M878" s="53"/>
      <c r="N878" s="53"/>
      <c r="O878" s="53"/>
      <c r="P878" s="53"/>
      <c r="Q878" s="53"/>
      <c r="R878" s="543">
        <f>+O877+M876</f>
        <v>3468464.85</v>
      </c>
      <c r="S878" s="52"/>
      <c r="T878" s="52"/>
      <c r="V878" s="52">
        <f t="shared" si="113"/>
        <v>0</v>
      </c>
      <c r="AI878" s="52"/>
    </row>
    <row r="879" spans="1:35" ht="12">
      <c r="A879" s="80"/>
      <c r="B879" s="80"/>
      <c r="C879" s="80"/>
      <c r="D879" s="88"/>
      <c r="E879" s="83"/>
      <c r="F879" s="142"/>
      <c r="G879" s="82"/>
      <c r="H879" s="399"/>
      <c r="I879" s="420"/>
      <c r="J879" s="420"/>
      <c r="K879" s="420"/>
      <c r="L879" s="420"/>
      <c r="M879" s="86"/>
      <c r="N879" s="86"/>
      <c r="O879" s="86"/>
      <c r="P879" s="86"/>
      <c r="Q879" s="86"/>
      <c r="R879" s="435"/>
      <c r="S879" s="52"/>
      <c r="T879" s="52"/>
      <c r="V879" s="52">
        <f t="shared" si="113"/>
        <v>0</v>
      </c>
      <c r="AI879" s="52"/>
    </row>
    <row r="880" spans="1:35" ht="12">
      <c r="A880" s="80"/>
      <c r="B880" s="80"/>
      <c r="C880" s="535" t="s">
        <v>343</v>
      </c>
      <c r="D880" s="88"/>
      <c r="E880" s="83"/>
      <c r="F880" s="142"/>
      <c r="G880" s="82" t="s">
        <v>914</v>
      </c>
      <c r="H880" s="399"/>
      <c r="I880" s="420"/>
      <c r="J880" s="420"/>
      <c r="K880" s="420"/>
      <c r="L880" s="420"/>
      <c r="M880" s="86"/>
      <c r="N880" s="86"/>
      <c r="O880" s="86"/>
      <c r="P880" s="86"/>
      <c r="Q880" s="86"/>
      <c r="R880" s="435"/>
      <c r="S880" s="52"/>
      <c r="T880" s="52"/>
      <c r="V880" s="52">
        <f t="shared" si="113"/>
        <v>0</v>
      </c>
      <c r="AI880" s="52"/>
    </row>
    <row r="881" spans="1:35" ht="12">
      <c r="A881" s="80"/>
      <c r="B881" s="80"/>
      <c r="C881" s="80"/>
      <c r="D881" s="89">
        <v>130</v>
      </c>
      <c r="E881" s="83"/>
      <c r="F881" s="142"/>
      <c r="G881" s="82" t="s">
        <v>775</v>
      </c>
      <c r="H881" s="399"/>
      <c r="I881" s="420"/>
      <c r="J881" s="420"/>
      <c r="K881" s="420"/>
      <c r="L881" s="420"/>
      <c r="M881" s="86"/>
      <c r="N881" s="86"/>
      <c r="O881" s="86"/>
      <c r="P881" s="86"/>
      <c r="Q881" s="86"/>
      <c r="R881" s="435"/>
      <c r="S881" s="52"/>
      <c r="T881" s="52"/>
      <c r="V881" s="52">
        <f t="shared" si="113"/>
        <v>0</v>
      </c>
      <c r="AI881" s="52"/>
    </row>
    <row r="882" spans="1:35" ht="12">
      <c r="A882" s="80">
        <f>+A868+1</f>
        <v>216</v>
      </c>
      <c r="B882" s="80"/>
      <c r="C882" s="80"/>
      <c r="D882" s="89"/>
      <c r="E882" s="85">
        <v>421</v>
      </c>
      <c r="F882" s="112"/>
      <c r="G882" s="83" t="s">
        <v>567</v>
      </c>
      <c r="H882" s="399">
        <v>120000</v>
      </c>
      <c r="I882" s="420"/>
      <c r="J882" s="420"/>
      <c r="K882" s="420"/>
      <c r="L882" s="386">
        <f aca="true" t="shared" si="117" ref="L882:L888">+H882+I882+J882+K882</f>
        <v>120000</v>
      </c>
      <c r="M882" s="86">
        <v>89463.21</v>
      </c>
      <c r="N882" s="86"/>
      <c r="O882" s="86"/>
      <c r="P882" s="86"/>
      <c r="Q882" s="86">
        <v>26331.76</v>
      </c>
      <c r="R882" s="435">
        <f aca="true" t="shared" si="118" ref="R882:R889">+M882/H882*100</f>
        <v>74.55267500000001</v>
      </c>
      <c r="S882" s="52"/>
      <c r="T882" s="52"/>
      <c r="V882" s="52">
        <f t="shared" si="113"/>
        <v>4205.029999999999</v>
      </c>
      <c r="AI882" s="52"/>
    </row>
    <row r="883" spans="1:35" ht="12">
      <c r="A883" s="80">
        <f>A882+1</f>
        <v>217</v>
      </c>
      <c r="B883" s="80"/>
      <c r="C883" s="80"/>
      <c r="D883" s="89"/>
      <c r="E883" s="85">
        <v>424</v>
      </c>
      <c r="F883" s="112"/>
      <c r="G883" s="83" t="s">
        <v>554</v>
      </c>
      <c r="H883" s="399">
        <v>150000</v>
      </c>
      <c r="I883" s="420"/>
      <c r="J883" s="420"/>
      <c r="K883" s="420"/>
      <c r="L883" s="386">
        <f t="shared" si="117"/>
        <v>150000</v>
      </c>
      <c r="M883" s="86">
        <v>138733</v>
      </c>
      <c r="N883" s="86"/>
      <c r="O883" s="86"/>
      <c r="P883" s="86"/>
      <c r="Q883" s="86"/>
      <c r="R883" s="435">
        <f t="shared" si="118"/>
        <v>92.48866666666666</v>
      </c>
      <c r="S883" s="52"/>
      <c r="T883" s="52"/>
      <c r="V883" s="52">
        <f t="shared" si="113"/>
        <v>11267</v>
      </c>
      <c r="AI883" s="52"/>
    </row>
    <row r="884" spans="1:35" ht="12">
      <c r="A884" s="80">
        <f>+A883+1</f>
        <v>218</v>
      </c>
      <c r="B884" s="80"/>
      <c r="C884" s="80"/>
      <c r="D884" s="89"/>
      <c r="E884" s="85">
        <v>425</v>
      </c>
      <c r="F884" s="112"/>
      <c r="G884" s="83" t="s">
        <v>540</v>
      </c>
      <c r="H884" s="399">
        <v>322000</v>
      </c>
      <c r="I884" s="420"/>
      <c r="J884" s="420"/>
      <c r="K884" s="420"/>
      <c r="L884" s="386">
        <f t="shared" si="117"/>
        <v>322000</v>
      </c>
      <c r="M884" s="86">
        <v>45486</v>
      </c>
      <c r="N884" s="86"/>
      <c r="O884" s="86"/>
      <c r="P884" s="86"/>
      <c r="Q884" s="86">
        <v>134838</v>
      </c>
      <c r="R884" s="435">
        <f t="shared" si="118"/>
        <v>14.126086956521739</v>
      </c>
      <c r="S884" s="52"/>
      <c r="T884" s="52"/>
      <c r="V884" s="52">
        <f t="shared" si="113"/>
        <v>141676</v>
      </c>
      <c r="AI884" s="52"/>
    </row>
    <row r="885" spans="1:35" ht="12">
      <c r="A885" s="80">
        <f>+A884+1</f>
        <v>219</v>
      </c>
      <c r="B885" s="80"/>
      <c r="C885" s="80"/>
      <c r="D885" s="89"/>
      <c r="E885" s="85">
        <v>426</v>
      </c>
      <c r="F885" s="112"/>
      <c r="G885" s="83" t="s">
        <v>530</v>
      </c>
      <c r="H885" s="399">
        <f>100000+S885</f>
        <v>120000</v>
      </c>
      <c r="I885" s="420"/>
      <c r="J885" s="420">
        <v>60000</v>
      </c>
      <c r="K885" s="420"/>
      <c r="L885" s="386">
        <f t="shared" si="117"/>
        <v>180000</v>
      </c>
      <c r="M885" s="86">
        <v>118771</v>
      </c>
      <c r="N885" s="86"/>
      <c r="O885" s="86">
        <v>40971.51</v>
      </c>
      <c r="P885" s="86"/>
      <c r="Q885" s="86"/>
      <c r="R885" s="435">
        <f t="shared" si="118"/>
        <v>98.97583333333333</v>
      </c>
      <c r="S885" s="52">
        <v>20000</v>
      </c>
      <c r="T885" s="52"/>
      <c r="V885" s="52">
        <f t="shared" si="113"/>
        <v>1229</v>
      </c>
      <c r="AI885" s="52"/>
    </row>
    <row r="886" spans="1:35" ht="12">
      <c r="A886" s="80" t="s">
        <v>379</v>
      </c>
      <c r="B886" s="80"/>
      <c r="C886" s="80"/>
      <c r="D886" s="89"/>
      <c r="E886" s="85">
        <v>4819</v>
      </c>
      <c r="F886" s="112"/>
      <c r="G886" s="83" t="s">
        <v>900</v>
      </c>
      <c r="H886" s="399">
        <v>150000</v>
      </c>
      <c r="I886" s="420"/>
      <c r="J886" s="420"/>
      <c r="K886" s="420"/>
      <c r="L886" s="386">
        <f t="shared" si="117"/>
        <v>150000</v>
      </c>
      <c r="M886" s="86">
        <v>150000</v>
      </c>
      <c r="N886" s="86"/>
      <c r="O886" s="86"/>
      <c r="P886" s="86"/>
      <c r="Q886" s="86"/>
      <c r="R886" s="435">
        <f t="shared" si="118"/>
        <v>100</v>
      </c>
      <c r="S886" s="52"/>
      <c r="T886" s="52"/>
      <c r="V886" s="52">
        <f t="shared" si="113"/>
        <v>0</v>
      </c>
      <c r="AI886" s="52"/>
    </row>
    <row r="887" spans="1:35" ht="12">
      <c r="A887" s="80" t="s">
        <v>420</v>
      </c>
      <c r="B887" s="80"/>
      <c r="C887" s="80"/>
      <c r="D887" s="89"/>
      <c r="E887" s="85">
        <v>482</v>
      </c>
      <c r="F887" s="112"/>
      <c r="G887" s="83" t="s">
        <v>807</v>
      </c>
      <c r="H887" s="399"/>
      <c r="I887" s="420"/>
      <c r="J887" s="420">
        <v>42155</v>
      </c>
      <c r="K887" s="420"/>
      <c r="L887" s="386">
        <f>J887</f>
        <v>42155</v>
      </c>
      <c r="M887" s="86"/>
      <c r="N887" s="86"/>
      <c r="O887" s="86">
        <v>35029</v>
      </c>
      <c r="P887" s="86"/>
      <c r="Q887" s="86"/>
      <c r="R887" s="435"/>
      <c r="S887" s="52"/>
      <c r="T887" s="52"/>
      <c r="V887" s="52">
        <f t="shared" si="113"/>
        <v>0</v>
      </c>
      <c r="AI887" s="52"/>
    </row>
    <row r="888" spans="1:35" ht="12">
      <c r="A888" s="80">
        <f>+A885+1</f>
        <v>220</v>
      </c>
      <c r="B888" s="80"/>
      <c r="C888" s="80"/>
      <c r="D888" s="89"/>
      <c r="E888" s="85">
        <v>511</v>
      </c>
      <c r="F888" s="112"/>
      <c r="G888" s="83" t="s">
        <v>534</v>
      </c>
      <c r="H888" s="399">
        <f>627000+S888+390000</f>
        <v>1017000</v>
      </c>
      <c r="I888" s="420"/>
      <c r="J888" s="420">
        <v>350000</v>
      </c>
      <c r="K888" s="420"/>
      <c r="L888" s="386">
        <f t="shared" si="117"/>
        <v>1367000</v>
      </c>
      <c r="M888" s="86">
        <v>875574.55</v>
      </c>
      <c r="N888" s="86"/>
      <c r="O888" s="86">
        <v>251143.82</v>
      </c>
      <c r="P888" s="86"/>
      <c r="Q888" s="86"/>
      <c r="R888" s="435">
        <f t="shared" si="118"/>
        <v>86.09385939036383</v>
      </c>
      <c r="S888" s="52"/>
      <c r="T888" s="52"/>
      <c r="V888" s="52">
        <f t="shared" si="113"/>
        <v>141425.44999999995</v>
      </c>
      <c r="AI888" s="52"/>
    </row>
    <row r="889" spans="1:35" ht="12">
      <c r="A889" s="12"/>
      <c r="B889" s="12"/>
      <c r="C889" s="12"/>
      <c r="D889" s="12"/>
      <c r="E889" s="3"/>
      <c r="F889" s="103"/>
      <c r="G889" s="48" t="s">
        <v>842</v>
      </c>
      <c r="H889" s="91">
        <f aca="true" t="shared" si="119" ref="H889:O889">SUM(H882:H888)</f>
        <v>1879000</v>
      </c>
      <c r="I889" s="91">
        <f t="shared" si="119"/>
        <v>0</v>
      </c>
      <c r="J889" s="91">
        <f>SUM(J882:J888)</f>
        <v>452155</v>
      </c>
      <c r="K889" s="91">
        <f t="shared" si="119"/>
        <v>0</v>
      </c>
      <c r="L889" s="91">
        <f t="shared" si="119"/>
        <v>2331155</v>
      </c>
      <c r="M889" s="508">
        <f t="shared" si="119"/>
        <v>1418027.76</v>
      </c>
      <c r="N889" s="508"/>
      <c r="O889" s="508">
        <f t="shared" si="119"/>
        <v>327144.33</v>
      </c>
      <c r="P889" s="130"/>
      <c r="Q889" s="130">
        <f>SUM(Q882:Q888)</f>
        <v>161169.76</v>
      </c>
      <c r="R889" s="435">
        <f t="shared" si="118"/>
        <v>75.46715061202768</v>
      </c>
      <c r="S889" s="52"/>
      <c r="T889" s="52"/>
      <c r="V889" s="52">
        <f t="shared" si="113"/>
        <v>299802.48</v>
      </c>
      <c r="AB889" s="52"/>
      <c r="AI889" s="52"/>
    </row>
    <row r="890" spans="1:35" ht="12">
      <c r="A890" s="148"/>
      <c r="B890" s="13"/>
      <c r="C890" s="13"/>
      <c r="D890" s="13"/>
      <c r="E890" s="15"/>
      <c r="F890" s="105"/>
      <c r="G890" s="39" t="s">
        <v>691</v>
      </c>
      <c r="H890" s="415"/>
      <c r="I890" s="415"/>
      <c r="J890" s="415"/>
      <c r="K890" s="415"/>
      <c r="L890" s="415"/>
      <c r="M890" s="61"/>
      <c r="N890" s="61"/>
      <c r="O890" s="61"/>
      <c r="P890" s="61"/>
      <c r="Q890" s="61"/>
      <c r="R890" s="438"/>
      <c r="S890" s="52"/>
      <c r="T890" s="52"/>
      <c r="V890" s="52">
        <f t="shared" si="113"/>
        <v>0</v>
      </c>
      <c r="AI890" s="52"/>
    </row>
    <row r="891" spans="1:35" ht="12">
      <c r="A891" s="149"/>
      <c r="B891" s="2"/>
      <c r="C891" s="2"/>
      <c r="D891" s="2"/>
      <c r="E891" s="5"/>
      <c r="F891" s="151" t="s">
        <v>73</v>
      </c>
      <c r="G891" s="20" t="s">
        <v>674</v>
      </c>
      <c r="H891" s="10">
        <f>+H889</f>
        <v>1879000</v>
      </c>
      <c r="I891" s="10"/>
      <c r="J891" s="10"/>
      <c r="K891" s="10"/>
      <c r="L891" s="10"/>
      <c r="M891" s="62">
        <f>+M889</f>
        <v>1418027.76</v>
      </c>
      <c r="N891" s="62"/>
      <c r="O891" s="62"/>
      <c r="P891" s="62"/>
      <c r="Q891" s="62"/>
      <c r="R891" s="439"/>
      <c r="S891" s="52"/>
      <c r="T891" s="52"/>
      <c r="V891" s="52">
        <f t="shared" si="113"/>
        <v>460972.24</v>
      </c>
      <c r="AC891" s="52"/>
      <c r="AD891" s="52"/>
      <c r="AI891" s="52"/>
    </row>
    <row r="892" spans="1:35" ht="12">
      <c r="A892" s="149"/>
      <c r="B892" s="2"/>
      <c r="C892" s="2"/>
      <c r="D892" s="2"/>
      <c r="E892" s="5"/>
      <c r="F892" s="151"/>
      <c r="G892" s="20" t="s">
        <v>909</v>
      </c>
      <c r="H892" s="10">
        <v>1022000</v>
      </c>
      <c r="I892" s="10"/>
      <c r="J892" s="10"/>
      <c r="K892" s="10"/>
      <c r="L892" s="10"/>
      <c r="M892" s="62"/>
      <c r="N892" s="62"/>
      <c r="O892" s="62"/>
      <c r="P892" s="62"/>
      <c r="Q892" s="62"/>
      <c r="R892" s="439"/>
      <c r="S892" s="52"/>
      <c r="T892" s="52"/>
      <c r="V892" s="52">
        <f t="shared" si="113"/>
        <v>1022000</v>
      </c>
      <c r="AI892" s="52"/>
    </row>
    <row r="893" spans="1:35" ht="12">
      <c r="A893" s="149"/>
      <c r="B893" s="2"/>
      <c r="C893" s="2"/>
      <c r="D893" s="2"/>
      <c r="E893" s="5"/>
      <c r="F893" s="151" t="s">
        <v>413</v>
      </c>
      <c r="G893" s="20" t="s">
        <v>767</v>
      </c>
      <c r="H893" s="10"/>
      <c r="I893" s="10"/>
      <c r="J893" s="10">
        <f>+J889</f>
        <v>452155</v>
      </c>
      <c r="K893" s="10"/>
      <c r="L893" s="10"/>
      <c r="M893" s="62"/>
      <c r="N893" s="62"/>
      <c r="O893" s="62">
        <f>+O889</f>
        <v>327144.33</v>
      </c>
      <c r="P893" s="62"/>
      <c r="Q893" s="62"/>
      <c r="R893" s="439"/>
      <c r="S893" s="52"/>
      <c r="T893" s="52"/>
      <c r="V893" s="52">
        <f t="shared" si="113"/>
        <v>0</v>
      </c>
      <c r="AI893" s="52"/>
    </row>
    <row r="894" spans="1:35" ht="12">
      <c r="A894" s="149"/>
      <c r="B894" s="2"/>
      <c r="C894" s="2"/>
      <c r="D894" s="2"/>
      <c r="E894" s="5"/>
      <c r="F894" s="151"/>
      <c r="G894" s="1" t="s">
        <v>692</v>
      </c>
      <c r="H894" s="10"/>
      <c r="I894" s="10"/>
      <c r="J894" s="10"/>
      <c r="K894" s="10"/>
      <c r="L894" s="10">
        <f>+H891+J893</f>
        <v>2331155</v>
      </c>
      <c r="M894" s="62"/>
      <c r="N894" s="62"/>
      <c r="O894" s="62"/>
      <c r="P894" s="62"/>
      <c r="Q894" s="62"/>
      <c r="R894" s="439"/>
      <c r="S894" s="52"/>
      <c r="T894" s="52"/>
      <c r="V894" s="52">
        <f t="shared" si="113"/>
        <v>0</v>
      </c>
      <c r="AI894" s="52"/>
    </row>
    <row r="895" spans="1:35" ht="12">
      <c r="A895" s="149"/>
      <c r="B895" s="2"/>
      <c r="C895" s="2"/>
      <c r="D895" s="2"/>
      <c r="E895" s="5"/>
      <c r="F895" s="151"/>
      <c r="G895" s="1" t="s">
        <v>873</v>
      </c>
      <c r="H895" s="10"/>
      <c r="I895" s="10"/>
      <c r="J895" s="10"/>
      <c r="K895" s="10"/>
      <c r="L895" s="10"/>
      <c r="M895" s="62"/>
      <c r="N895" s="62"/>
      <c r="O895" s="62"/>
      <c r="P895" s="62"/>
      <c r="Q895" s="62"/>
      <c r="R895" s="439"/>
      <c r="S895" s="52"/>
      <c r="T895" s="52"/>
      <c r="V895" s="52">
        <f t="shared" si="113"/>
        <v>0</v>
      </c>
      <c r="AI895" s="52"/>
    </row>
    <row r="896" spans="1:35" ht="12">
      <c r="A896" s="149"/>
      <c r="B896" s="2"/>
      <c r="C896" s="2"/>
      <c r="D896" s="2"/>
      <c r="E896" s="5"/>
      <c r="F896" s="151" t="s">
        <v>73</v>
      </c>
      <c r="G896" s="20" t="s">
        <v>674</v>
      </c>
      <c r="H896" s="10">
        <f>+H891</f>
        <v>1879000</v>
      </c>
      <c r="I896" s="10"/>
      <c r="J896" s="10"/>
      <c r="K896" s="10"/>
      <c r="L896" s="10"/>
      <c r="M896" s="62">
        <f>+M891</f>
        <v>1418027.76</v>
      </c>
      <c r="N896" s="62"/>
      <c r="O896" s="62"/>
      <c r="P896" s="62"/>
      <c r="Q896" s="62"/>
      <c r="R896" s="439"/>
      <c r="S896" s="52"/>
      <c r="T896" s="52"/>
      <c r="V896" s="52">
        <f t="shared" si="113"/>
        <v>460972.24</v>
      </c>
      <c r="AI896" s="52"/>
    </row>
    <row r="897" spans="1:35" ht="12">
      <c r="A897" s="149"/>
      <c r="B897" s="2"/>
      <c r="C897" s="2"/>
      <c r="D897" s="2"/>
      <c r="E897" s="5"/>
      <c r="F897" s="151" t="s">
        <v>413</v>
      </c>
      <c r="G897" s="20" t="s">
        <v>767</v>
      </c>
      <c r="H897" s="10"/>
      <c r="I897" s="10"/>
      <c r="J897" s="10">
        <f>+J893</f>
        <v>452155</v>
      </c>
      <c r="K897" s="10"/>
      <c r="L897" s="10"/>
      <c r="M897" s="62"/>
      <c r="N897" s="62"/>
      <c r="O897" s="62">
        <f>+O893</f>
        <v>327144.33</v>
      </c>
      <c r="P897" s="62"/>
      <c r="Q897" s="62"/>
      <c r="R897" s="439"/>
      <c r="S897" s="52"/>
      <c r="T897" s="52"/>
      <c r="V897" s="52">
        <f t="shared" si="113"/>
        <v>0</v>
      </c>
      <c r="AI897" s="52"/>
    </row>
    <row r="898" spans="1:35" ht="12">
      <c r="A898" s="150"/>
      <c r="B898" s="40"/>
      <c r="C898" s="40"/>
      <c r="D898" s="40"/>
      <c r="E898" s="19"/>
      <c r="F898" s="123"/>
      <c r="G898" s="90" t="s">
        <v>843</v>
      </c>
      <c r="H898" s="407"/>
      <c r="I898" s="407"/>
      <c r="J898" s="407"/>
      <c r="K898" s="407"/>
      <c r="L898" s="407">
        <f>+H896+J897</f>
        <v>2331155</v>
      </c>
      <c r="M898" s="53"/>
      <c r="N898" s="53"/>
      <c r="O898" s="53"/>
      <c r="P898" s="53"/>
      <c r="Q898" s="53"/>
      <c r="R898" s="543">
        <f>+O897+M896</f>
        <v>1745172.09</v>
      </c>
      <c r="S898" s="52"/>
      <c r="T898" s="52"/>
      <c r="V898" s="52">
        <f t="shared" si="113"/>
        <v>0</v>
      </c>
      <c r="AI898" s="52"/>
    </row>
    <row r="899" spans="1:35" ht="12">
      <c r="A899" s="80"/>
      <c r="B899" s="80"/>
      <c r="C899" s="80"/>
      <c r="D899" s="88"/>
      <c r="E899" s="83"/>
      <c r="F899" s="142"/>
      <c r="G899" s="82"/>
      <c r="H899" s="399"/>
      <c r="I899" s="420"/>
      <c r="J899" s="420"/>
      <c r="K899" s="420"/>
      <c r="L899" s="420"/>
      <c r="M899" s="86"/>
      <c r="N899" s="86"/>
      <c r="O899" s="86"/>
      <c r="P899" s="86"/>
      <c r="Q899" s="86"/>
      <c r="R899" s="435"/>
      <c r="S899" s="52"/>
      <c r="T899" s="52"/>
      <c r="V899" s="52">
        <f t="shared" si="113"/>
        <v>0</v>
      </c>
      <c r="AI899" s="52"/>
    </row>
    <row r="900" spans="1:35" ht="12">
      <c r="A900" s="80"/>
      <c r="B900" s="80"/>
      <c r="C900" s="535" t="s">
        <v>344</v>
      </c>
      <c r="D900" s="88"/>
      <c r="E900" s="83"/>
      <c r="F900" s="142"/>
      <c r="G900" s="82" t="s">
        <v>915</v>
      </c>
      <c r="H900" s="399"/>
      <c r="I900" s="420"/>
      <c r="J900" s="420"/>
      <c r="K900" s="420"/>
      <c r="L900" s="420"/>
      <c r="M900" s="86"/>
      <c r="N900" s="86"/>
      <c r="O900" s="86"/>
      <c r="P900" s="86"/>
      <c r="Q900" s="86"/>
      <c r="R900" s="435"/>
      <c r="S900" s="52"/>
      <c r="T900" s="52"/>
      <c r="V900" s="52">
        <f t="shared" si="113"/>
        <v>0</v>
      </c>
      <c r="AI900" s="52"/>
    </row>
    <row r="901" spans="1:35" ht="12">
      <c r="A901" s="80"/>
      <c r="B901" s="80"/>
      <c r="C901" s="80"/>
      <c r="D901" s="89">
        <v>130</v>
      </c>
      <c r="E901" s="83"/>
      <c r="F901" s="142"/>
      <c r="G901" s="82" t="s">
        <v>775</v>
      </c>
      <c r="H901" s="399"/>
      <c r="I901" s="420"/>
      <c r="J901" s="420"/>
      <c r="K901" s="420"/>
      <c r="L901" s="420"/>
      <c r="M901" s="86"/>
      <c r="N901" s="86"/>
      <c r="O901" s="86"/>
      <c r="P901" s="86"/>
      <c r="Q901" s="86"/>
      <c r="R901" s="435"/>
      <c r="S901" s="52"/>
      <c r="T901" s="52"/>
      <c r="V901" s="52">
        <f t="shared" si="113"/>
        <v>0</v>
      </c>
      <c r="AI901" s="52"/>
    </row>
    <row r="902" spans="1:35" ht="12">
      <c r="A902" s="80">
        <f>+A888+1</f>
        <v>221</v>
      </c>
      <c r="B902" s="80"/>
      <c r="C902" s="80"/>
      <c r="D902" s="89"/>
      <c r="E902" s="85">
        <v>421</v>
      </c>
      <c r="F902" s="112"/>
      <c r="G902" s="83" t="s">
        <v>567</v>
      </c>
      <c r="H902" s="399">
        <v>20000</v>
      </c>
      <c r="I902" s="420"/>
      <c r="J902" s="420"/>
      <c r="K902" s="420"/>
      <c r="L902" s="386">
        <f>+H902+I902+J902+K902</f>
        <v>20000</v>
      </c>
      <c r="M902" s="86">
        <v>509.61</v>
      </c>
      <c r="N902" s="86"/>
      <c r="O902" s="86"/>
      <c r="P902" s="86"/>
      <c r="Q902" s="86"/>
      <c r="R902" s="435">
        <f>+M902/H902*100</f>
        <v>2.54805</v>
      </c>
      <c r="S902" s="52"/>
      <c r="T902" s="52"/>
      <c r="V902" s="52">
        <f t="shared" si="113"/>
        <v>19490.39</v>
      </c>
      <c r="AI902" s="52"/>
    </row>
    <row r="903" spans="1:35" ht="12">
      <c r="A903" s="80">
        <f>+A902+1</f>
        <v>222</v>
      </c>
      <c r="B903" s="80"/>
      <c r="C903" s="80"/>
      <c r="D903" s="89"/>
      <c r="E903" s="85">
        <v>422</v>
      </c>
      <c r="F903" s="112"/>
      <c r="G903" s="83" t="s">
        <v>569</v>
      </c>
      <c r="H903" s="399">
        <v>20000</v>
      </c>
      <c r="I903" s="420"/>
      <c r="J903" s="420"/>
      <c r="K903" s="420"/>
      <c r="L903" s="386">
        <f>+H903+I903+J903+K903</f>
        <v>20000</v>
      </c>
      <c r="M903" s="86">
        <v>0</v>
      </c>
      <c r="N903" s="86"/>
      <c r="O903" s="86">
        <v>3494</v>
      </c>
      <c r="P903" s="86"/>
      <c r="Q903" s="86"/>
      <c r="R903" s="435">
        <f>+M903/H903*100</f>
        <v>0</v>
      </c>
      <c r="S903" s="52"/>
      <c r="T903" s="52"/>
      <c r="V903" s="52">
        <f t="shared" si="113"/>
        <v>20000</v>
      </c>
      <c r="AI903" s="52"/>
    </row>
    <row r="904" spans="1:35" ht="12">
      <c r="A904" s="80"/>
      <c r="B904" s="80"/>
      <c r="C904" s="80"/>
      <c r="D904" s="89"/>
      <c r="E904" s="85">
        <v>423</v>
      </c>
      <c r="F904" s="112"/>
      <c r="G904" s="83" t="s">
        <v>539</v>
      </c>
      <c r="H904" s="399"/>
      <c r="I904" s="420"/>
      <c r="J904" s="420">
        <v>4000</v>
      </c>
      <c r="K904" s="420"/>
      <c r="L904" s="386">
        <f>J904</f>
        <v>4000</v>
      </c>
      <c r="M904" s="86"/>
      <c r="N904" s="86"/>
      <c r="O904" s="86"/>
      <c r="P904" s="86"/>
      <c r="Q904" s="86"/>
      <c r="R904" s="435"/>
      <c r="S904" s="52"/>
      <c r="T904" s="52"/>
      <c r="V904" s="52">
        <f t="shared" si="113"/>
        <v>0</v>
      </c>
      <c r="AI904" s="52"/>
    </row>
    <row r="905" spans="1:35" ht="12">
      <c r="A905" s="80">
        <f>+A903+1</f>
        <v>223</v>
      </c>
      <c r="B905" s="80"/>
      <c r="C905" s="80"/>
      <c r="D905" s="89"/>
      <c r="E905" s="85">
        <v>425</v>
      </c>
      <c r="F905" s="112"/>
      <c r="G905" s="83" t="s">
        <v>540</v>
      </c>
      <c r="H905" s="399">
        <f>312000+S905</f>
        <v>562000</v>
      </c>
      <c r="I905" s="420"/>
      <c r="J905" s="420"/>
      <c r="K905" s="420"/>
      <c r="L905" s="386">
        <f>+H905+I905+J905+K905</f>
        <v>562000</v>
      </c>
      <c r="M905" s="86">
        <f>314160+216386.4</f>
        <v>530546.4</v>
      </c>
      <c r="N905" s="86"/>
      <c r="O905" s="86"/>
      <c r="P905" s="86"/>
      <c r="Q905" s="86">
        <v>29400</v>
      </c>
      <c r="R905" s="435">
        <f>+M905/H905*100</f>
        <v>94.40327402135232</v>
      </c>
      <c r="S905" s="52">
        <v>250000</v>
      </c>
      <c r="T905" s="52"/>
      <c r="V905" s="52">
        <f t="shared" si="113"/>
        <v>2053.5999999999767</v>
      </c>
      <c r="AI905" s="52"/>
    </row>
    <row r="906" spans="1:35" ht="12">
      <c r="A906" s="80" t="s">
        <v>421</v>
      </c>
      <c r="B906" s="80"/>
      <c r="C906" s="80"/>
      <c r="D906" s="89"/>
      <c r="E906" s="85">
        <v>426</v>
      </c>
      <c r="F906" s="112"/>
      <c r="G906" s="31" t="s">
        <v>530</v>
      </c>
      <c r="H906" s="399"/>
      <c r="I906" s="420"/>
      <c r="J906" s="420">
        <v>14059</v>
      </c>
      <c r="K906" s="420"/>
      <c r="L906" s="386">
        <f>J906</f>
        <v>14059</v>
      </c>
      <c r="M906" s="86"/>
      <c r="N906" s="86"/>
      <c r="O906" s="86">
        <v>13992</v>
      </c>
      <c r="P906" s="86"/>
      <c r="Q906" s="86"/>
      <c r="R906" s="435"/>
      <c r="S906" s="52"/>
      <c r="T906" s="52"/>
      <c r="V906" s="52">
        <f t="shared" si="113"/>
        <v>0</v>
      </c>
      <c r="AI906" s="52"/>
    </row>
    <row r="907" spans="1:35" s="68" customFormat="1" ht="12">
      <c r="A907" s="12"/>
      <c r="B907" s="12"/>
      <c r="C907" s="12"/>
      <c r="D907" s="12"/>
      <c r="E907" s="3"/>
      <c r="F907" s="103"/>
      <c r="G907" s="48" t="s">
        <v>844</v>
      </c>
      <c r="H907" s="91">
        <f>SUM(H902:H905)</f>
        <v>602000</v>
      </c>
      <c r="I907" s="91">
        <f>SUM(I902:I905)</f>
        <v>0</v>
      </c>
      <c r="J907" s="91">
        <f>SUM(J902:J906)</f>
        <v>18059</v>
      </c>
      <c r="K907" s="91">
        <f>SUM(K902:K905)</f>
        <v>0</v>
      </c>
      <c r="L907" s="91">
        <f>SUM(L902:L906)</f>
        <v>620059</v>
      </c>
      <c r="M907" s="419">
        <f>SUM(M902:M906)</f>
        <v>531056.01</v>
      </c>
      <c r="N907" s="419"/>
      <c r="O907" s="419">
        <f>SUM(O902:O906)</f>
        <v>17486</v>
      </c>
      <c r="P907" s="86"/>
      <c r="Q907" s="86">
        <f>SUM(Q902:Q905)</f>
        <v>29400</v>
      </c>
      <c r="R907" s="435">
        <f>+M907/H907*100</f>
        <v>88.21528405315615</v>
      </c>
      <c r="S907" s="53"/>
      <c r="T907" s="53"/>
      <c r="V907" s="52">
        <f t="shared" si="113"/>
        <v>41543.98999999999</v>
      </c>
      <c r="AB907" s="53"/>
      <c r="AI907" s="53"/>
    </row>
    <row r="908" spans="1:35" ht="12">
      <c r="A908" s="149"/>
      <c r="B908" s="2"/>
      <c r="C908" s="2"/>
      <c r="D908" s="2"/>
      <c r="E908" s="5"/>
      <c r="F908" s="104"/>
      <c r="G908" s="1" t="s">
        <v>691</v>
      </c>
      <c r="H908" s="10"/>
      <c r="I908" s="10"/>
      <c r="J908" s="10"/>
      <c r="K908" s="10"/>
      <c r="L908" s="10"/>
      <c r="M908" s="62"/>
      <c r="N908" s="62"/>
      <c r="O908" s="62"/>
      <c r="P908" s="62"/>
      <c r="Q908" s="62"/>
      <c r="R908" s="439"/>
      <c r="S908" s="52"/>
      <c r="T908" s="52"/>
      <c r="V908" s="52">
        <f t="shared" si="113"/>
        <v>0</v>
      </c>
      <c r="AI908" s="52"/>
    </row>
    <row r="909" spans="1:35" ht="12">
      <c r="A909" s="149"/>
      <c r="B909" s="2"/>
      <c r="C909" s="2"/>
      <c r="D909" s="2"/>
      <c r="E909" s="5"/>
      <c r="F909" s="151" t="s">
        <v>73</v>
      </c>
      <c r="G909" s="20" t="s">
        <v>674</v>
      </c>
      <c r="H909" s="10">
        <f>+H907</f>
        <v>602000</v>
      </c>
      <c r="I909" s="10"/>
      <c r="J909" s="10"/>
      <c r="K909" s="10"/>
      <c r="L909" s="10"/>
      <c r="M909" s="62">
        <f>+M907</f>
        <v>531056.01</v>
      </c>
      <c r="N909" s="62"/>
      <c r="O909" s="62"/>
      <c r="P909" s="62"/>
      <c r="Q909" s="62"/>
      <c r="R909" s="439"/>
      <c r="S909" s="52"/>
      <c r="T909" s="52"/>
      <c r="V909" s="52">
        <f t="shared" si="113"/>
        <v>70943.98999999999</v>
      </c>
      <c r="AC909" s="52"/>
      <c r="AD909" s="52"/>
      <c r="AI909" s="52"/>
    </row>
    <row r="910" spans="1:35" ht="12">
      <c r="A910" s="149"/>
      <c r="B910" s="2"/>
      <c r="C910" s="2"/>
      <c r="D910" s="2"/>
      <c r="E910" s="5"/>
      <c r="F910" s="151"/>
      <c r="G910" s="20" t="s">
        <v>909</v>
      </c>
      <c r="H910" s="10">
        <v>240000</v>
      </c>
      <c r="I910" s="10"/>
      <c r="J910" s="10"/>
      <c r="K910" s="10"/>
      <c r="L910" s="10"/>
      <c r="M910" s="62"/>
      <c r="N910" s="62"/>
      <c r="O910" s="62"/>
      <c r="P910" s="62"/>
      <c r="Q910" s="62"/>
      <c r="R910" s="439"/>
      <c r="S910" s="52"/>
      <c r="T910" s="52"/>
      <c r="V910" s="52">
        <f t="shared" si="113"/>
        <v>240000</v>
      </c>
      <c r="AI910" s="52"/>
    </row>
    <row r="911" spans="1:35" ht="12">
      <c r="A911" s="149"/>
      <c r="B911" s="2"/>
      <c r="C911" s="2"/>
      <c r="D911" s="2"/>
      <c r="E911" s="5"/>
      <c r="F911" s="151" t="s">
        <v>413</v>
      </c>
      <c r="G911" s="20" t="s">
        <v>767</v>
      </c>
      <c r="H911" s="10"/>
      <c r="I911" s="10"/>
      <c r="J911" s="10">
        <f>+J907</f>
        <v>18059</v>
      </c>
      <c r="K911" s="10"/>
      <c r="L911" s="10"/>
      <c r="M911" s="62"/>
      <c r="N911" s="62"/>
      <c r="O911" s="62">
        <f>+O907</f>
        <v>17486</v>
      </c>
      <c r="P911" s="62"/>
      <c r="Q911" s="62"/>
      <c r="R911" s="439"/>
      <c r="S911" s="52"/>
      <c r="T911" s="52"/>
      <c r="V911" s="52">
        <f t="shared" si="113"/>
        <v>0</v>
      </c>
      <c r="AI911" s="52"/>
    </row>
    <row r="912" spans="1:35" ht="12">
      <c r="A912" s="149"/>
      <c r="B912" s="2"/>
      <c r="C912" s="2"/>
      <c r="D912" s="2"/>
      <c r="E912" s="5"/>
      <c r="F912" s="151"/>
      <c r="G912" s="1" t="s">
        <v>692</v>
      </c>
      <c r="H912" s="10"/>
      <c r="I912" s="10"/>
      <c r="J912" s="10"/>
      <c r="K912" s="10"/>
      <c r="L912" s="10">
        <f>+H909+J911</f>
        <v>620059</v>
      </c>
      <c r="M912" s="62"/>
      <c r="N912" s="62"/>
      <c r="O912" s="62"/>
      <c r="P912" s="62"/>
      <c r="Q912" s="62"/>
      <c r="R912" s="439"/>
      <c r="S912" s="52"/>
      <c r="T912" s="52"/>
      <c r="V912" s="52">
        <f t="shared" si="113"/>
        <v>0</v>
      </c>
      <c r="AI912" s="52"/>
    </row>
    <row r="913" spans="1:35" ht="12">
      <c r="A913" s="149"/>
      <c r="B913" s="2"/>
      <c r="C913" s="2"/>
      <c r="D913" s="2"/>
      <c r="E913" s="5"/>
      <c r="F913" s="151"/>
      <c r="G913" s="1" t="s">
        <v>874</v>
      </c>
      <c r="H913" s="10"/>
      <c r="I913" s="10"/>
      <c r="J913" s="10"/>
      <c r="K913" s="10"/>
      <c r="L913" s="10"/>
      <c r="M913" s="62"/>
      <c r="N913" s="62"/>
      <c r="O913" s="62"/>
      <c r="P913" s="62"/>
      <c r="Q913" s="62"/>
      <c r="R913" s="439"/>
      <c r="S913" s="52"/>
      <c r="T913" s="52"/>
      <c r="V913" s="52">
        <f t="shared" si="113"/>
        <v>0</v>
      </c>
      <c r="AI913" s="52"/>
    </row>
    <row r="914" spans="1:35" ht="12">
      <c r="A914" s="149"/>
      <c r="B914" s="2"/>
      <c r="C914" s="2"/>
      <c r="D914" s="2"/>
      <c r="E914" s="5"/>
      <c r="F914" s="151" t="s">
        <v>73</v>
      </c>
      <c r="G914" s="20" t="s">
        <v>674</v>
      </c>
      <c r="H914" s="10">
        <f>+H909</f>
        <v>602000</v>
      </c>
      <c r="I914" s="10"/>
      <c r="J914" s="10"/>
      <c r="K914" s="10"/>
      <c r="L914" s="10"/>
      <c r="M914" s="62">
        <f>+M909</f>
        <v>531056.01</v>
      </c>
      <c r="N914" s="62"/>
      <c r="O914" s="62"/>
      <c r="P914" s="62"/>
      <c r="Q914" s="62"/>
      <c r="R914" s="439"/>
      <c r="S914" s="52"/>
      <c r="T914" s="52"/>
      <c r="V914" s="52">
        <f t="shared" si="113"/>
        <v>70943.98999999999</v>
      </c>
      <c r="AI914" s="52"/>
    </row>
    <row r="915" spans="1:35" ht="12">
      <c r="A915" s="149"/>
      <c r="B915" s="2"/>
      <c r="C915" s="2"/>
      <c r="D915" s="2"/>
      <c r="E915" s="5"/>
      <c r="F915" s="151" t="s">
        <v>413</v>
      </c>
      <c r="G915" s="20" t="s">
        <v>767</v>
      </c>
      <c r="H915" s="10"/>
      <c r="I915" s="10"/>
      <c r="J915" s="10">
        <f>+J911</f>
        <v>18059</v>
      </c>
      <c r="K915" s="10"/>
      <c r="L915" s="10"/>
      <c r="M915" s="62"/>
      <c r="N915" s="62"/>
      <c r="O915" s="62">
        <f>+O911</f>
        <v>17486</v>
      </c>
      <c r="P915" s="62"/>
      <c r="Q915" s="62"/>
      <c r="R915" s="439"/>
      <c r="S915" s="52"/>
      <c r="T915" s="52"/>
      <c r="V915" s="52">
        <f t="shared" si="113"/>
        <v>0</v>
      </c>
      <c r="AI915" s="52"/>
    </row>
    <row r="916" spans="1:35" ht="12">
      <c r="A916" s="150"/>
      <c r="B916" s="40"/>
      <c r="C916" s="40"/>
      <c r="D916" s="40"/>
      <c r="E916" s="19"/>
      <c r="F916" s="123"/>
      <c r="G916" s="90" t="s">
        <v>845</v>
      </c>
      <c r="H916" s="407"/>
      <c r="I916" s="407"/>
      <c r="J916" s="407"/>
      <c r="K916" s="407"/>
      <c r="L916" s="407">
        <f>H914+J915</f>
        <v>620059</v>
      </c>
      <c r="M916" s="53"/>
      <c r="N916" s="53"/>
      <c r="O916" s="53"/>
      <c r="P916" s="53"/>
      <c r="Q916" s="53"/>
      <c r="R916" s="543">
        <f>+O915+M914</f>
        <v>548542.01</v>
      </c>
      <c r="S916" s="52"/>
      <c r="T916" s="52"/>
      <c r="V916" s="52">
        <f t="shared" si="113"/>
        <v>0</v>
      </c>
      <c r="AI916" s="52"/>
    </row>
    <row r="917" spans="1:35" ht="12">
      <c r="A917" s="80"/>
      <c r="B917" s="80"/>
      <c r="C917" s="80"/>
      <c r="D917" s="88"/>
      <c r="E917" s="83"/>
      <c r="F917" s="142"/>
      <c r="G917" s="82"/>
      <c r="H917" s="399"/>
      <c r="I917" s="420"/>
      <c r="J917" s="420"/>
      <c r="K917" s="420"/>
      <c r="L917" s="420"/>
      <c r="M917" s="86"/>
      <c r="N917" s="86"/>
      <c r="O917" s="86"/>
      <c r="P917" s="86"/>
      <c r="Q917" s="86"/>
      <c r="R917" s="435"/>
      <c r="S917" s="52"/>
      <c r="T917" s="52"/>
      <c r="V917" s="52">
        <f t="shared" si="113"/>
        <v>0</v>
      </c>
      <c r="AI917" s="52"/>
    </row>
    <row r="918" spans="1:35" ht="12">
      <c r="A918" s="80"/>
      <c r="B918" s="80"/>
      <c r="C918" s="535" t="s">
        <v>345</v>
      </c>
      <c r="D918" s="88"/>
      <c r="E918" s="83"/>
      <c r="F918" s="142"/>
      <c r="G918" s="5" t="s">
        <v>901</v>
      </c>
      <c r="H918" s="399"/>
      <c r="I918" s="420"/>
      <c r="J918" s="420"/>
      <c r="K918" s="420"/>
      <c r="L918" s="420"/>
      <c r="M918" s="86"/>
      <c r="N918" s="86"/>
      <c r="O918" s="86"/>
      <c r="P918" s="86"/>
      <c r="Q918" s="86"/>
      <c r="R918" s="435"/>
      <c r="S918" s="52"/>
      <c r="T918" s="52"/>
      <c r="V918" s="52">
        <f t="shared" si="113"/>
        <v>0</v>
      </c>
      <c r="AI918" s="52"/>
    </row>
    <row r="919" spans="1:35" ht="12">
      <c r="A919" s="80"/>
      <c r="B919" s="80"/>
      <c r="C919" s="80"/>
      <c r="D919" s="89">
        <v>130</v>
      </c>
      <c r="E919" s="83"/>
      <c r="F919" s="142"/>
      <c r="G919" s="82" t="s">
        <v>775</v>
      </c>
      <c r="H919" s="399"/>
      <c r="I919" s="420"/>
      <c r="J919" s="420"/>
      <c r="K919" s="420"/>
      <c r="L919" s="420"/>
      <c r="M919" s="86"/>
      <c r="N919" s="86"/>
      <c r="O919" s="86"/>
      <c r="P919" s="86"/>
      <c r="Q919" s="86"/>
      <c r="R919" s="435"/>
      <c r="S919" s="52"/>
      <c r="T919" s="52"/>
      <c r="V919" s="52">
        <f t="shared" si="113"/>
        <v>0</v>
      </c>
      <c r="AI919" s="52"/>
    </row>
    <row r="920" spans="1:35" ht="12">
      <c r="A920" s="80">
        <f>+A905+1</f>
        <v>224</v>
      </c>
      <c r="B920" s="80"/>
      <c r="C920" s="80"/>
      <c r="D920" s="89"/>
      <c r="E920" s="85">
        <v>421</v>
      </c>
      <c r="F920" s="112"/>
      <c r="G920" s="83" t="s">
        <v>567</v>
      </c>
      <c r="H920" s="399">
        <v>80000</v>
      </c>
      <c r="I920" s="420"/>
      <c r="J920" s="420">
        <v>554</v>
      </c>
      <c r="K920" s="420"/>
      <c r="L920" s="386">
        <f aca="true" t="shared" si="120" ref="L920:L926">+H920+I920+J920+K920</f>
        <v>80554</v>
      </c>
      <c r="M920" s="86">
        <v>27896.13</v>
      </c>
      <c r="N920" s="86"/>
      <c r="O920" s="86"/>
      <c r="P920" s="86"/>
      <c r="Q920" s="86">
        <v>43576.74</v>
      </c>
      <c r="R920" s="435">
        <f>+M920/H920*100</f>
        <v>34.8701625</v>
      </c>
      <c r="S920" s="52"/>
      <c r="T920" s="52"/>
      <c r="V920" s="52">
        <f t="shared" si="113"/>
        <v>8527.130000000005</v>
      </c>
      <c r="AI920" s="52"/>
    </row>
    <row r="921" spans="1:35" ht="12">
      <c r="A921" s="80">
        <f>A920+1</f>
        <v>225</v>
      </c>
      <c r="B921" s="80"/>
      <c r="C921" s="80"/>
      <c r="D921" s="89"/>
      <c r="E921" s="85">
        <v>423</v>
      </c>
      <c r="F921" s="112"/>
      <c r="G921" s="83" t="s">
        <v>539</v>
      </c>
      <c r="H921" s="399">
        <v>23000</v>
      </c>
      <c r="I921" s="420"/>
      <c r="J921" s="420"/>
      <c r="K921" s="420"/>
      <c r="L921" s="386">
        <f t="shared" si="120"/>
        <v>23000</v>
      </c>
      <c r="M921" s="86">
        <v>0</v>
      </c>
      <c r="N921" s="86"/>
      <c r="O921" s="86"/>
      <c r="P921" s="86"/>
      <c r="Q921" s="86">
        <v>17160</v>
      </c>
      <c r="R921" s="435">
        <f aca="true" t="shared" si="121" ref="R921:R927">+M921/H921*100</f>
        <v>0</v>
      </c>
      <c r="S921" s="52"/>
      <c r="T921" s="52"/>
      <c r="V921" s="52">
        <f aca="true" t="shared" si="122" ref="V921:V984">+H921-(M921+Q921)</f>
        <v>5840</v>
      </c>
      <c r="AI921" s="52"/>
    </row>
    <row r="922" spans="1:35" ht="12">
      <c r="A922" s="80">
        <f>+A921+1</f>
        <v>226</v>
      </c>
      <c r="B922" s="80"/>
      <c r="C922" s="80"/>
      <c r="D922" s="89"/>
      <c r="E922" s="85">
        <v>424</v>
      </c>
      <c r="F922" s="112"/>
      <c r="G922" s="83" t="s">
        <v>554</v>
      </c>
      <c r="H922" s="399">
        <v>10000</v>
      </c>
      <c r="I922" s="420"/>
      <c r="J922" s="420"/>
      <c r="K922" s="420"/>
      <c r="L922" s="386">
        <f t="shared" si="120"/>
        <v>10000</v>
      </c>
      <c r="M922" s="86">
        <v>0</v>
      </c>
      <c r="N922" s="86"/>
      <c r="O922" s="86"/>
      <c r="P922" s="86"/>
      <c r="Q922" s="86">
        <v>10000</v>
      </c>
      <c r="R922" s="435">
        <f t="shared" si="121"/>
        <v>0</v>
      </c>
      <c r="S922" s="52"/>
      <c r="T922" s="52"/>
      <c r="V922" s="52">
        <f t="shared" si="122"/>
        <v>0</v>
      </c>
      <c r="AI922" s="52"/>
    </row>
    <row r="923" spans="1:35" ht="12">
      <c r="A923" s="80">
        <f>+A922+1</f>
        <v>227</v>
      </c>
      <c r="B923" s="80"/>
      <c r="C923" s="80"/>
      <c r="D923" s="89"/>
      <c r="E923" s="85">
        <v>425</v>
      </c>
      <c r="F923" s="112"/>
      <c r="G923" s="83" t="s">
        <v>540</v>
      </c>
      <c r="H923" s="399">
        <f>132000+27000</f>
        <v>159000</v>
      </c>
      <c r="I923" s="420"/>
      <c r="J923" s="420"/>
      <c r="K923" s="420"/>
      <c r="L923" s="386">
        <f t="shared" si="120"/>
        <v>159000</v>
      </c>
      <c r="M923" s="86">
        <v>59856.48</v>
      </c>
      <c r="N923" s="86"/>
      <c r="O923" s="86"/>
      <c r="P923" s="86"/>
      <c r="Q923" s="86">
        <v>68040</v>
      </c>
      <c r="R923" s="435">
        <f t="shared" si="121"/>
        <v>37.64558490566038</v>
      </c>
      <c r="S923" s="52"/>
      <c r="T923" s="52"/>
      <c r="V923" s="52">
        <f t="shared" si="122"/>
        <v>31103.51999999999</v>
      </c>
      <c r="AI923" s="52"/>
    </row>
    <row r="924" spans="1:35" ht="12">
      <c r="A924" s="80">
        <f>+A923+1</f>
        <v>228</v>
      </c>
      <c r="B924" s="80"/>
      <c r="C924" s="80"/>
      <c r="D924" s="89"/>
      <c r="E924" s="85">
        <v>426</v>
      </c>
      <c r="F924" s="112"/>
      <c r="G924" s="83" t="s">
        <v>530</v>
      </c>
      <c r="H924" s="399">
        <v>30000</v>
      </c>
      <c r="I924" s="420"/>
      <c r="J924" s="420"/>
      <c r="K924" s="420"/>
      <c r="L924" s="386">
        <f t="shared" si="120"/>
        <v>30000</v>
      </c>
      <c r="M924" s="86">
        <v>30000</v>
      </c>
      <c r="N924" s="86"/>
      <c r="O924" s="86"/>
      <c r="P924" s="86"/>
      <c r="Q924" s="86"/>
      <c r="R924" s="435">
        <f t="shared" si="121"/>
        <v>100</v>
      </c>
      <c r="S924" s="52"/>
      <c r="T924" s="52"/>
      <c r="V924" s="52">
        <f t="shared" si="122"/>
        <v>0</v>
      </c>
      <c r="AI924" s="52"/>
    </row>
    <row r="925" spans="1:35" ht="12">
      <c r="A925" s="80">
        <f>+A924+1</f>
        <v>229</v>
      </c>
      <c r="B925" s="80"/>
      <c r="C925" s="80"/>
      <c r="D925" s="89"/>
      <c r="E925" s="85">
        <v>511</v>
      </c>
      <c r="F925" s="112"/>
      <c r="G925" s="83" t="s">
        <v>534</v>
      </c>
      <c r="H925" s="399">
        <v>290000</v>
      </c>
      <c r="I925" s="420"/>
      <c r="J925" s="420"/>
      <c r="K925" s="420"/>
      <c r="L925" s="386">
        <f t="shared" si="120"/>
        <v>290000</v>
      </c>
      <c r="M925" s="86">
        <v>69342.02</v>
      </c>
      <c r="N925" s="86"/>
      <c r="O925" s="86"/>
      <c r="P925" s="86"/>
      <c r="Q925" s="86">
        <v>81900</v>
      </c>
      <c r="R925" s="435">
        <f t="shared" si="121"/>
        <v>23.911041379310348</v>
      </c>
      <c r="S925" s="52"/>
      <c r="T925" s="52"/>
      <c r="V925" s="52">
        <f t="shared" si="122"/>
        <v>138757.97999999998</v>
      </c>
      <c r="AI925" s="52"/>
    </row>
    <row r="926" spans="1:35" ht="12">
      <c r="A926" s="80">
        <f>+A925+1</f>
        <v>230</v>
      </c>
      <c r="B926" s="80"/>
      <c r="C926" s="80"/>
      <c r="D926" s="89"/>
      <c r="E926" s="85">
        <v>512</v>
      </c>
      <c r="F926" s="112"/>
      <c r="G926" s="83" t="s">
        <v>572</v>
      </c>
      <c r="H926" s="399">
        <v>13000</v>
      </c>
      <c r="I926" s="420"/>
      <c r="J926" s="420"/>
      <c r="K926" s="420"/>
      <c r="L926" s="386">
        <f t="shared" si="120"/>
        <v>13000</v>
      </c>
      <c r="M926" s="86">
        <v>0</v>
      </c>
      <c r="N926" s="86"/>
      <c r="O926" s="86"/>
      <c r="P926" s="86"/>
      <c r="Q926" s="86"/>
      <c r="R926" s="435">
        <f t="shared" si="121"/>
        <v>0</v>
      </c>
      <c r="S926" s="52"/>
      <c r="T926" s="52"/>
      <c r="V926" s="52">
        <f t="shared" si="122"/>
        <v>13000</v>
      </c>
      <c r="AI926" s="52"/>
    </row>
    <row r="927" spans="1:35" ht="12">
      <c r="A927" s="12"/>
      <c r="B927" s="12"/>
      <c r="C927" s="12"/>
      <c r="D927" s="12"/>
      <c r="E927" s="3"/>
      <c r="F927" s="103"/>
      <c r="G927" s="48" t="s">
        <v>846</v>
      </c>
      <c r="H927" s="91">
        <f aca="true" t="shared" si="123" ref="H927:M927">SUM(H920:H926)</f>
        <v>605000</v>
      </c>
      <c r="I927" s="91">
        <f t="shared" si="123"/>
        <v>0</v>
      </c>
      <c r="J927" s="91">
        <f t="shared" si="123"/>
        <v>554</v>
      </c>
      <c r="K927" s="91">
        <f t="shared" si="123"/>
        <v>0</v>
      </c>
      <c r="L927" s="91">
        <f t="shared" si="123"/>
        <v>605554</v>
      </c>
      <c r="M927" s="508">
        <f t="shared" si="123"/>
        <v>187094.63</v>
      </c>
      <c r="N927" s="508"/>
      <c r="O927" s="130"/>
      <c r="P927" s="130"/>
      <c r="Q927" s="130">
        <f>SUM(Q920:Q926)</f>
        <v>220676.74</v>
      </c>
      <c r="R927" s="435">
        <f t="shared" si="121"/>
        <v>30.92473223140496</v>
      </c>
      <c r="S927" s="52"/>
      <c r="T927" s="52"/>
      <c r="V927" s="52">
        <f t="shared" si="122"/>
        <v>197228.63</v>
      </c>
      <c r="AB927" s="52"/>
      <c r="AI927" s="52"/>
    </row>
    <row r="928" spans="1:35" ht="12">
      <c r="A928" s="148"/>
      <c r="B928" s="13"/>
      <c r="C928" s="13"/>
      <c r="D928" s="13"/>
      <c r="E928" s="15"/>
      <c r="F928" s="105"/>
      <c r="G928" s="39" t="s">
        <v>691</v>
      </c>
      <c r="H928" s="415"/>
      <c r="I928" s="415"/>
      <c r="J928" s="415"/>
      <c r="K928" s="415"/>
      <c r="L928" s="415"/>
      <c r="M928" s="61"/>
      <c r="N928" s="61"/>
      <c r="O928" s="61"/>
      <c r="P928" s="61"/>
      <c r="Q928" s="61"/>
      <c r="R928" s="438"/>
      <c r="S928" s="52"/>
      <c r="T928" s="52"/>
      <c r="V928" s="52">
        <f t="shared" si="122"/>
        <v>0</v>
      </c>
      <c r="AI928" s="52"/>
    </row>
    <row r="929" spans="1:35" ht="12">
      <c r="A929" s="149"/>
      <c r="B929" s="2"/>
      <c r="C929" s="2"/>
      <c r="D929" s="2"/>
      <c r="E929" s="5"/>
      <c r="F929" s="151" t="s">
        <v>73</v>
      </c>
      <c r="G929" s="20" t="s">
        <v>674</v>
      </c>
      <c r="H929" s="10">
        <f>+H927</f>
        <v>605000</v>
      </c>
      <c r="I929" s="10"/>
      <c r="J929" s="10"/>
      <c r="K929" s="10"/>
      <c r="L929" s="10"/>
      <c r="M929" s="62">
        <f>+M927</f>
        <v>187094.63</v>
      </c>
      <c r="N929" s="62"/>
      <c r="O929" s="62"/>
      <c r="P929" s="62"/>
      <c r="Q929" s="62"/>
      <c r="R929" s="439"/>
      <c r="S929" s="52"/>
      <c r="T929" s="52"/>
      <c r="V929" s="52">
        <f t="shared" si="122"/>
        <v>417905.37</v>
      </c>
      <c r="AC929" s="52"/>
      <c r="AD929" s="52"/>
      <c r="AI929" s="52"/>
    </row>
    <row r="930" spans="1:35" ht="12">
      <c r="A930" s="149"/>
      <c r="B930" s="2"/>
      <c r="C930" s="2"/>
      <c r="D930" s="2"/>
      <c r="E930" s="5"/>
      <c r="F930" s="151" t="s">
        <v>413</v>
      </c>
      <c r="G930" s="20" t="s">
        <v>767</v>
      </c>
      <c r="H930" s="10"/>
      <c r="I930" s="10"/>
      <c r="J930" s="10">
        <f>+J927</f>
        <v>554</v>
      </c>
      <c r="K930" s="10"/>
      <c r="L930" s="10"/>
      <c r="M930" s="62"/>
      <c r="N930" s="62"/>
      <c r="O930" s="62"/>
      <c r="P930" s="62"/>
      <c r="Q930" s="62"/>
      <c r="R930" s="439"/>
      <c r="S930" s="52"/>
      <c r="T930" s="52"/>
      <c r="V930" s="52">
        <f t="shared" si="122"/>
        <v>0</v>
      </c>
      <c r="AC930" s="52"/>
      <c r="AD930" s="52"/>
      <c r="AI930" s="52"/>
    </row>
    <row r="931" spans="1:35" ht="12">
      <c r="A931" s="149"/>
      <c r="B931" s="2"/>
      <c r="C931" s="2"/>
      <c r="D931" s="2"/>
      <c r="E931" s="5"/>
      <c r="F931" s="151"/>
      <c r="G931" s="1" t="s">
        <v>692</v>
      </c>
      <c r="H931" s="10"/>
      <c r="I931" s="10"/>
      <c r="J931" s="10"/>
      <c r="K931" s="10"/>
      <c r="L931" s="10">
        <f>+H929+J930</f>
        <v>605554</v>
      </c>
      <c r="M931" s="62"/>
      <c r="N931" s="62"/>
      <c r="O931" s="62"/>
      <c r="P931" s="62"/>
      <c r="Q931" s="62"/>
      <c r="R931" s="439"/>
      <c r="S931" s="52"/>
      <c r="T931" s="52"/>
      <c r="V931" s="52">
        <f t="shared" si="122"/>
        <v>0</v>
      </c>
      <c r="AI931" s="52"/>
    </row>
    <row r="932" spans="1:35" ht="12">
      <c r="A932" s="149"/>
      <c r="B932" s="2"/>
      <c r="C932" s="2"/>
      <c r="D932" s="2"/>
      <c r="E932" s="5"/>
      <c r="F932" s="151"/>
      <c r="G932" s="1" t="s">
        <v>875</v>
      </c>
      <c r="H932" s="10"/>
      <c r="I932" s="10"/>
      <c r="J932" s="10"/>
      <c r="K932" s="10"/>
      <c r="L932" s="10"/>
      <c r="M932" s="62"/>
      <c r="N932" s="62"/>
      <c r="O932" s="62"/>
      <c r="P932" s="62"/>
      <c r="Q932" s="62"/>
      <c r="R932" s="439"/>
      <c r="S932" s="52"/>
      <c r="T932" s="52"/>
      <c r="V932" s="52">
        <f t="shared" si="122"/>
        <v>0</v>
      </c>
      <c r="AI932" s="52"/>
    </row>
    <row r="933" spans="1:35" ht="12">
      <c r="A933" s="149"/>
      <c r="B933" s="2"/>
      <c r="C933" s="2"/>
      <c r="D933" s="2"/>
      <c r="E933" s="5"/>
      <c r="F933" s="151" t="s">
        <v>73</v>
      </c>
      <c r="G933" s="20" t="s">
        <v>674</v>
      </c>
      <c r="H933" s="10">
        <f>+H929</f>
        <v>605000</v>
      </c>
      <c r="I933" s="10"/>
      <c r="J933" s="10"/>
      <c r="K933" s="10"/>
      <c r="L933" s="10"/>
      <c r="M933" s="62">
        <f>+M929</f>
        <v>187094.63</v>
      </c>
      <c r="N933" s="62"/>
      <c r="O933" s="62"/>
      <c r="P933" s="62"/>
      <c r="Q933" s="62"/>
      <c r="R933" s="439"/>
      <c r="S933" s="52"/>
      <c r="T933" s="52"/>
      <c r="V933" s="52">
        <f t="shared" si="122"/>
        <v>417905.37</v>
      </c>
      <c r="AI933" s="52"/>
    </row>
    <row r="934" spans="1:35" ht="12">
      <c r="A934" s="149"/>
      <c r="B934" s="2"/>
      <c r="C934" s="2"/>
      <c r="D934" s="2"/>
      <c r="E934" s="5"/>
      <c r="F934" s="151" t="s">
        <v>413</v>
      </c>
      <c r="G934" s="20" t="s">
        <v>767</v>
      </c>
      <c r="H934" s="10"/>
      <c r="I934" s="10"/>
      <c r="J934" s="10">
        <f>+J930</f>
        <v>554</v>
      </c>
      <c r="K934" s="10"/>
      <c r="L934" s="10"/>
      <c r="M934" s="62"/>
      <c r="N934" s="62"/>
      <c r="O934" s="62"/>
      <c r="P934" s="62"/>
      <c r="Q934" s="62"/>
      <c r="R934" s="439"/>
      <c r="S934" s="52"/>
      <c r="T934" s="52"/>
      <c r="V934" s="52">
        <f t="shared" si="122"/>
        <v>0</v>
      </c>
      <c r="AI934" s="52"/>
    </row>
    <row r="935" spans="1:35" ht="12">
      <c r="A935" s="150"/>
      <c r="B935" s="40"/>
      <c r="C935" s="40"/>
      <c r="D935" s="40"/>
      <c r="E935" s="19"/>
      <c r="F935" s="123"/>
      <c r="G935" s="90" t="s">
        <v>847</v>
      </c>
      <c r="H935" s="407"/>
      <c r="I935" s="407"/>
      <c r="J935" s="407"/>
      <c r="K935" s="407"/>
      <c r="L935" s="407">
        <f>+H933+J934</f>
        <v>605554</v>
      </c>
      <c r="M935" s="53"/>
      <c r="N935" s="53"/>
      <c r="O935" s="53"/>
      <c r="P935" s="53"/>
      <c r="Q935" s="53"/>
      <c r="R935" s="543">
        <f>+O934+M933</f>
        <v>187094.63</v>
      </c>
      <c r="S935" s="52"/>
      <c r="T935" s="52"/>
      <c r="V935" s="52">
        <f t="shared" si="122"/>
        <v>0</v>
      </c>
      <c r="AI935" s="52"/>
    </row>
    <row r="936" spans="1:35" ht="12">
      <c r="A936" s="80"/>
      <c r="B936" s="80"/>
      <c r="C936" s="80"/>
      <c r="D936" s="88"/>
      <c r="E936" s="83"/>
      <c r="F936" s="142"/>
      <c r="G936" s="82"/>
      <c r="H936" s="399"/>
      <c r="I936" s="420"/>
      <c r="J936" s="420"/>
      <c r="K936" s="420"/>
      <c r="L936" s="420"/>
      <c r="M936" s="86"/>
      <c r="N936" s="86"/>
      <c r="O936" s="86"/>
      <c r="P936" s="86"/>
      <c r="Q936" s="86"/>
      <c r="R936" s="435"/>
      <c r="S936" s="52"/>
      <c r="T936" s="52"/>
      <c r="V936" s="52">
        <f t="shared" si="122"/>
        <v>0</v>
      </c>
      <c r="AI936" s="52"/>
    </row>
    <row r="937" spans="1:35" ht="12">
      <c r="A937" s="80"/>
      <c r="B937" s="80"/>
      <c r="C937" s="535" t="s">
        <v>346</v>
      </c>
      <c r="D937" s="88"/>
      <c r="E937" s="83"/>
      <c r="F937" s="142"/>
      <c r="G937" s="5" t="s">
        <v>902</v>
      </c>
      <c r="H937" s="399"/>
      <c r="I937" s="420"/>
      <c r="J937" s="420"/>
      <c r="K937" s="420"/>
      <c r="L937" s="420"/>
      <c r="M937" s="86"/>
      <c r="N937" s="86"/>
      <c r="O937" s="86"/>
      <c r="P937" s="86"/>
      <c r="Q937" s="86"/>
      <c r="R937" s="435"/>
      <c r="S937" s="52"/>
      <c r="T937" s="52"/>
      <c r="V937" s="52">
        <f t="shared" si="122"/>
        <v>0</v>
      </c>
      <c r="AI937" s="52"/>
    </row>
    <row r="938" spans="1:35" ht="12">
      <c r="A938" s="80"/>
      <c r="B938" s="80"/>
      <c r="C938" s="80"/>
      <c r="D938" s="89">
        <v>130</v>
      </c>
      <c r="E938" s="83"/>
      <c r="F938" s="142"/>
      <c r="G938" s="82" t="s">
        <v>775</v>
      </c>
      <c r="H938" s="399"/>
      <c r="I938" s="420"/>
      <c r="J938" s="420"/>
      <c r="K938" s="420"/>
      <c r="L938" s="420"/>
      <c r="M938" s="86"/>
      <c r="N938" s="86"/>
      <c r="O938" s="86"/>
      <c r="P938" s="86"/>
      <c r="Q938" s="86"/>
      <c r="R938" s="435"/>
      <c r="S938" s="52"/>
      <c r="T938" s="52"/>
      <c r="V938" s="52">
        <f t="shared" si="122"/>
        <v>0</v>
      </c>
      <c r="AI938" s="52"/>
    </row>
    <row r="939" spans="1:35" ht="12">
      <c r="A939" s="80">
        <f>+A926+1</f>
        <v>231</v>
      </c>
      <c r="B939" s="80"/>
      <c r="C939" s="80"/>
      <c r="D939" s="89"/>
      <c r="E939" s="85">
        <v>421</v>
      </c>
      <c r="F939" s="112"/>
      <c r="G939" s="83" t="s">
        <v>567</v>
      </c>
      <c r="H939" s="399">
        <v>25000</v>
      </c>
      <c r="I939" s="420"/>
      <c r="J939" s="420"/>
      <c r="K939" s="420"/>
      <c r="L939" s="386">
        <f aca="true" t="shared" si="124" ref="L939:L945">+H939+I939+J939+K939</f>
        <v>25000</v>
      </c>
      <c r="M939" s="86">
        <v>4140.84</v>
      </c>
      <c r="N939" s="86"/>
      <c r="O939" s="86"/>
      <c r="P939" s="86"/>
      <c r="Q939" s="86"/>
      <c r="R939" s="435">
        <f>+M939/H939*100</f>
        <v>16.56336</v>
      </c>
      <c r="S939" s="52"/>
      <c r="T939" s="52"/>
      <c r="V939" s="52">
        <f t="shared" si="122"/>
        <v>20859.16</v>
      </c>
      <c r="AI939" s="52"/>
    </row>
    <row r="940" spans="1:35" ht="12">
      <c r="A940" s="80">
        <f>+A939+1</f>
        <v>232</v>
      </c>
      <c r="B940" s="80"/>
      <c r="C940" s="80"/>
      <c r="D940" s="89"/>
      <c r="E940" s="85">
        <v>423</v>
      </c>
      <c r="F940" s="112"/>
      <c r="G940" s="83" t="s">
        <v>539</v>
      </c>
      <c r="H940" s="399">
        <f>210000+S940</f>
        <v>560000</v>
      </c>
      <c r="I940" s="420"/>
      <c r="J940" s="420"/>
      <c r="K940" s="420"/>
      <c r="L940" s="386">
        <f t="shared" si="124"/>
        <v>560000</v>
      </c>
      <c r="M940" s="86">
        <v>430967</v>
      </c>
      <c r="N940" s="86"/>
      <c r="O940" s="86"/>
      <c r="P940" s="86"/>
      <c r="Q940" s="86">
        <v>112476</v>
      </c>
      <c r="R940" s="435">
        <f aca="true" t="shared" si="125" ref="R940:R946">+M940/H940*100</f>
        <v>76.95839285714285</v>
      </c>
      <c r="S940" s="52">
        <v>350000</v>
      </c>
      <c r="T940" s="52"/>
      <c r="V940" s="52">
        <f t="shared" si="122"/>
        <v>16557</v>
      </c>
      <c r="AI940" s="52"/>
    </row>
    <row r="941" spans="1:35" ht="12">
      <c r="A941" s="80">
        <f>+A940+1</f>
        <v>233</v>
      </c>
      <c r="B941" s="80"/>
      <c r="C941" s="80"/>
      <c r="D941" s="89"/>
      <c r="E941" s="85">
        <v>424</v>
      </c>
      <c r="F941" s="112"/>
      <c r="G941" s="83" t="s">
        <v>554</v>
      </c>
      <c r="H941" s="399">
        <v>20000</v>
      </c>
      <c r="I941" s="420"/>
      <c r="J941" s="420"/>
      <c r="K941" s="420"/>
      <c r="L941" s="386">
        <f t="shared" si="124"/>
        <v>20000</v>
      </c>
      <c r="M941" s="86">
        <v>1521</v>
      </c>
      <c r="N941" s="86"/>
      <c r="O941" s="86"/>
      <c r="P941" s="86"/>
      <c r="Q941" s="86">
        <v>637.43</v>
      </c>
      <c r="R941" s="435">
        <f t="shared" si="125"/>
        <v>7.605</v>
      </c>
      <c r="S941" s="52"/>
      <c r="T941" s="52"/>
      <c r="V941" s="52">
        <f t="shared" si="122"/>
        <v>17841.57</v>
      </c>
      <c r="AI941" s="52"/>
    </row>
    <row r="942" spans="1:35" ht="12">
      <c r="A942" s="80">
        <f>+A941+1</f>
        <v>234</v>
      </c>
      <c r="B942" s="80"/>
      <c r="C942" s="80"/>
      <c r="D942" s="89"/>
      <c r="E942" s="85">
        <v>425</v>
      </c>
      <c r="F942" s="112"/>
      <c r="G942" s="83" t="s">
        <v>540</v>
      </c>
      <c r="H942" s="399">
        <f>265000+S942</f>
        <v>265000</v>
      </c>
      <c r="I942" s="420"/>
      <c r="J942" s="420">
        <v>357376</v>
      </c>
      <c r="K942" s="420"/>
      <c r="L942" s="386">
        <f t="shared" si="124"/>
        <v>622376</v>
      </c>
      <c r="M942" s="86">
        <f>124464+40000</f>
        <v>164464</v>
      </c>
      <c r="N942" s="86"/>
      <c r="O942" s="86">
        <f>272976+84064</f>
        <v>357040</v>
      </c>
      <c r="P942" s="86"/>
      <c r="Q942" s="86">
        <v>24119.66</v>
      </c>
      <c r="R942" s="435">
        <f t="shared" si="125"/>
        <v>62.061886792452825</v>
      </c>
      <c r="S942" s="52"/>
      <c r="T942" s="52"/>
      <c r="V942" s="52">
        <f t="shared" si="122"/>
        <v>76416.34</v>
      </c>
      <c r="AI942" s="52"/>
    </row>
    <row r="943" spans="1:35" ht="12">
      <c r="A943" s="80">
        <f>+A942+1</f>
        <v>235</v>
      </c>
      <c r="B943" s="80"/>
      <c r="C943" s="80"/>
      <c r="D943" s="89"/>
      <c r="E943" s="85">
        <v>426</v>
      </c>
      <c r="F943" s="112"/>
      <c r="G943" s="83" t="s">
        <v>530</v>
      </c>
      <c r="H943" s="399">
        <v>100000</v>
      </c>
      <c r="I943" s="420"/>
      <c r="J943" s="420">
        <v>50000</v>
      </c>
      <c r="K943" s="420"/>
      <c r="L943" s="386">
        <f t="shared" si="124"/>
        <v>150000</v>
      </c>
      <c r="M943" s="86">
        <v>66746.07</v>
      </c>
      <c r="N943" s="86"/>
      <c r="O943" s="86">
        <v>31100</v>
      </c>
      <c r="P943" s="86"/>
      <c r="Q943" s="86">
        <v>9400</v>
      </c>
      <c r="R943" s="435">
        <f t="shared" si="125"/>
        <v>66.74607</v>
      </c>
      <c r="S943" s="52"/>
      <c r="T943" s="52"/>
      <c r="V943" s="52">
        <f t="shared" si="122"/>
        <v>23853.929999999993</v>
      </c>
      <c r="AI943" s="52"/>
    </row>
    <row r="944" spans="1:35" ht="12">
      <c r="A944" s="80" t="s">
        <v>380</v>
      </c>
      <c r="B944" s="80"/>
      <c r="C944" s="80"/>
      <c r="D944" s="89"/>
      <c r="E944" s="85">
        <v>511</v>
      </c>
      <c r="F944" s="112"/>
      <c r="G944" s="83" t="s">
        <v>534</v>
      </c>
      <c r="H944" s="399">
        <f>215150+S944</f>
        <v>265150</v>
      </c>
      <c r="I944" s="420"/>
      <c r="J944" s="420">
        <f>70000+642790</f>
        <v>712790</v>
      </c>
      <c r="K944" s="420"/>
      <c r="L944" s="386">
        <f t="shared" si="124"/>
        <v>977940</v>
      </c>
      <c r="M944" s="86">
        <v>246800</v>
      </c>
      <c r="N944" s="86"/>
      <c r="O944" s="86">
        <f>28900+642790</f>
        <v>671690</v>
      </c>
      <c r="P944" s="86"/>
      <c r="Q944" s="86"/>
      <c r="R944" s="435">
        <f t="shared" si="125"/>
        <v>93.07938902508013</v>
      </c>
      <c r="S944" s="52">
        <v>50000</v>
      </c>
      <c r="T944" s="52"/>
      <c r="V944" s="52">
        <f t="shared" si="122"/>
        <v>18350</v>
      </c>
      <c r="AI944" s="52"/>
    </row>
    <row r="945" spans="1:35" ht="12">
      <c r="A945" s="80">
        <f>+A943+1</f>
        <v>236</v>
      </c>
      <c r="B945" s="80"/>
      <c r="C945" s="80"/>
      <c r="D945" s="89"/>
      <c r="E945" s="85">
        <v>512</v>
      </c>
      <c r="F945" s="112"/>
      <c r="G945" s="83" t="s">
        <v>572</v>
      </c>
      <c r="H945" s="399">
        <v>50000</v>
      </c>
      <c r="I945" s="420"/>
      <c r="J945" s="420"/>
      <c r="K945" s="420"/>
      <c r="L945" s="386">
        <f t="shared" si="124"/>
        <v>50000</v>
      </c>
      <c r="M945" s="86">
        <v>50000</v>
      </c>
      <c r="N945" s="86"/>
      <c r="O945" s="86"/>
      <c r="P945" s="86"/>
      <c r="Q945" s="86"/>
      <c r="R945" s="435">
        <f t="shared" si="125"/>
        <v>100</v>
      </c>
      <c r="S945" s="52"/>
      <c r="T945" s="52"/>
      <c r="V945" s="52">
        <f t="shared" si="122"/>
        <v>0</v>
      </c>
      <c r="AI945" s="52"/>
    </row>
    <row r="946" spans="1:35" ht="12">
      <c r="A946" s="12"/>
      <c r="B946" s="12"/>
      <c r="C946" s="12"/>
      <c r="D946" s="12"/>
      <c r="E946" s="3"/>
      <c r="F946" s="103"/>
      <c r="G946" s="48" t="s">
        <v>848</v>
      </c>
      <c r="H946" s="91">
        <f aca="true" t="shared" si="126" ref="H946:M946">SUM(H939:H945)</f>
        <v>1285150</v>
      </c>
      <c r="I946" s="91">
        <f t="shared" si="126"/>
        <v>0</v>
      </c>
      <c r="J946" s="91">
        <f>SUM(J939:J945)</f>
        <v>1120166</v>
      </c>
      <c r="K946" s="91">
        <f t="shared" si="126"/>
        <v>0</v>
      </c>
      <c r="L946" s="91">
        <f t="shared" si="126"/>
        <v>2405316</v>
      </c>
      <c r="M946" s="508">
        <f t="shared" si="126"/>
        <v>964638.9100000001</v>
      </c>
      <c r="N946" s="508"/>
      <c r="O946" s="508">
        <f>SUM(O939:O945)</f>
        <v>1059830</v>
      </c>
      <c r="P946" s="130"/>
      <c r="Q946" s="130">
        <f>SUM(Q939:Q945)</f>
        <v>146633.09</v>
      </c>
      <c r="R946" s="435">
        <f t="shared" si="125"/>
        <v>75.06041395945999</v>
      </c>
      <c r="S946" s="52"/>
      <c r="T946" s="52"/>
      <c r="V946" s="52">
        <f t="shared" si="122"/>
        <v>173877.99999999977</v>
      </c>
      <c r="AB946" s="52"/>
      <c r="AI946" s="52"/>
    </row>
    <row r="947" spans="1:35" ht="12">
      <c r="A947" s="148"/>
      <c r="B947" s="13"/>
      <c r="C947" s="13"/>
      <c r="D947" s="13"/>
      <c r="E947" s="15"/>
      <c r="F947" s="105"/>
      <c r="G947" s="39" t="s">
        <v>691</v>
      </c>
      <c r="H947" s="415"/>
      <c r="I947" s="415"/>
      <c r="J947" s="415"/>
      <c r="K947" s="415"/>
      <c r="L947" s="415"/>
      <c r="M947" s="61"/>
      <c r="N947" s="61"/>
      <c r="O947" s="61"/>
      <c r="P947" s="61"/>
      <c r="Q947" s="61"/>
      <c r="R947" s="438"/>
      <c r="S947" s="52"/>
      <c r="T947" s="52"/>
      <c r="V947" s="52">
        <f t="shared" si="122"/>
        <v>0</v>
      </c>
      <c r="AI947" s="52"/>
    </row>
    <row r="948" spans="1:35" ht="12">
      <c r="A948" s="149"/>
      <c r="B948" s="2"/>
      <c r="C948" s="2"/>
      <c r="D948" s="2"/>
      <c r="E948" s="5"/>
      <c r="F948" s="151" t="s">
        <v>73</v>
      </c>
      <c r="G948" s="20" t="s">
        <v>674</v>
      </c>
      <c r="H948" s="10">
        <f>+H946</f>
        <v>1285150</v>
      </c>
      <c r="I948" s="10"/>
      <c r="J948" s="10"/>
      <c r="K948" s="10"/>
      <c r="L948" s="10"/>
      <c r="M948" s="62">
        <f>+M946</f>
        <v>964638.9100000001</v>
      </c>
      <c r="N948" s="62"/>
      <c r="O948" s="62"/>
      <c r="P948" s="62"/>
      <c r="Q948" s="62"/>
      <c r="R948" s="439"/>
      <c r="S948" s="52"/>
      <c r="T948" s="52"/>
      <c r="V948" s="52">
        <f t="shared" si="122"/>
        <v>320511.08999999985</v>
      </c>
      <c r="AC948" s="52"/>
      <c r="AD948" s="52"/>
      <c r="AI948" s="52"/>
    </row>
    <row r="949" spans="1:35" ht="12">
      <c r="A949" s="149"/>
      <c r="B949" s="2"/>
      <c r="C949" s="2"/>
      <c r="D949" s="2"/>
      <c r="E949" s="5"/>
      <c r="F949" s="151"/>
      <c r="G949" s="20" t="s">
        <v>909</v>
      </c>
      <c r="H949" s="10">
        <v>65000</v>
      </c>
      <c r="I949" s="10"/>
      <c r="J949" s="10"/>
      <c r="K949" s="10"/>
      <c r="L949" s="10"/>
      <c r="M949" s="62"/>
      <c r="N949" s="62"/>
      <c r="O949" s="62"/>
      <c r="P949" s="62"/>
      <c r="Q949" s="62"/>
      <c r="R949" s="439"/>
      <c r="S949" s="52"/>
      <c r="T949" s="52"/>
      <c r="V949" s="52">
        <f t="shared" si="122"/>
        <v>65000</v>
      </c>
      <c r="AI949" s="52"/>
    </row>
    <row r="950" spans="1:35" ht="12">
      <c r="A950" s="149"/>
      <c r="B950" s="2"/>
      <c r="C950" s="2"/>
      <c r="D950" s="2"/>
      <c r="E950" s="5"/>
      <c r="F950" s="151" t="s">
        <v>268</v>
      </c>
      <c r="G950" s="20" t="s">
        <v>903</v>
      </c>
      <c r="H950" s="10"/>
      <c r="I950" s="10"/>
      <c r="J950" s="52">
        <f>+J946-477376</f>
        <v>642790</v>
      </c>
      <c r="K950" s="10"/>
      <c r="L950" s="10"/>
      <c r="M950" s="62"/>
      <c r="N950" s="62"/>
      <c r="O950" s="62">
        <f>+O944-28900</f>
        <v>642790</v>
      </c>
      <c r="P950" s="62"/>
      <c r="Q950" s="62"/>
      <c r="R950" s="439"/>
      <c r="S950" s="52"/>
      <c r="T950" s="52"/>
      <c r="V950" s="52">
        <f t="shared" si="122"/>
        <v>0</v>
      </c>
      <c r="AI950" s="52"/>
    </row>
    <row r="951" spans="1:35" ht="12">
      <c r="A951" s="149"/>
      <c r="B951" s="2"/>
      <c r="C951" s="2"/>
      <c r="D951" s="2"/>
      <c r="E951" s="5"/>
      <c r="F951" s="151" t="s">
        <v>413</v>
      </c>
      <c r="G951" s="20" t="s">
        <v>767</v>
      </c>
      <c r="H951" s="10"/>
      <c r="I951" s="10"/>
      <c r="J951" s="10">
        <f>+J946-642790</f>
        <v>477376</v>
      </c>
      <c r="K951" s="10"/>
      <c r="L951" s="10"/>
      <c r="M951" s="62"/>
      <c r="N951" s="62"/>
      <c r="O951" s="62">
        <f>+O946-O950</f>
        <v>417040</v>
      </c>
      <c r="P951" s="62"/>
      <c r="Q951" s="62"/>
      <c r="R951" s="439"/>
      <c r="S951" s="52"/>
      <c r="T951" s="52"/>
      <c r="V951" s="52">
        <f t="shared" si="122"/>
        <v>0</v>
      </c>
      <c r="AI951" s="52"/>
    </row>
    <row r="952" spans="1:35" ht="12">
      <c r="A952" s="149"/>
      <c r="B952" s="2"/>
      <c r="C952" s="2"/>
      <c r="D952" s="2"/>
      <c r="E952" s="5"/>
      <c r="F952" s="151"/>
      <c r="G952" s="1" t="s">
        <v>692</v>
      </c>
      <c r="H952" s="10"/>
      <c r="I952" s="10"/>
      <c r="J952" s="10"/>
      <c r="K952" s="10"/>
      <c r="L952" s="10">
        <f>+H948+J950+J951</f>
        <v>2405316</v>
      </c>
      <c r="M952" s="62"/>
      <c r="N952" s="62"/>
      <c r="O952" s="62"/>
      <c r="P952" s="62"/>
      <c r="Q952" s="62"/>
      <c r="R952" s="439"/>
      <c r="S952" s="52"/>
      <c r="T952" s="52"/>
      <c r="V952" s="52">
        <f t="shared" si="122"/>
        <v>0</v>
      </c>
      <c r="AI952" s="52"/>
    </row>
    <row r="953" spans="1:35" ht="12">
      <c r="A953" s="149"/>
      <c r="B953" s="2"/>
      <c r="C953" s="2"/>
      <c r="D953" s="2"/>
      <c r="E953" s="5"/>
      <c r="F953" s="151"/>
      <c r="G953" s="1" t="s">
        <v>876</v>
      </c>
      <c r="H953" s="10"/>
      <c r="I953" s="10"/>
      <c r="J953" s="10"/>
      <c r="K953" s="10"/>
      <c r="L953" s="10"/>
      <c r="M953" s="62"/>
      <c r="N953" s="62"/>
      <c r="O953" s="62"/>
      <c r="P953" s="62"/>
      <c r="Q953" s="62"/>
      <c r="R953" s="439"/>
      <c r="S953" s="52"/>
      <c r="T953" s="52"/>
      <c r="V953" s="52">
        <f t="shared" si="122"/>
        <v>0</v>
      </c>
      <c r="AI953" s="52"/>
    </row>
    <row r="954" spans="1:35" ht="12">
      <c r="A954" s="149"/>
      <c r="B954" s="2"/>
      <c r="C954" s="2"/>
      <c r="D954" s="2"/>
      <c r="E954" s="5"/>
      <c r="F954" s="151" t="s">
        <v>73</v>
      </c>
      <c r="G954" s="20" t="s">
        <v>674</v>
      </c>
      <c r="H954" s="10">
        <f>+H948</f>
        <v>1285150</v>
      </c>
      <c r="I954" s="10"/>
      <c r="J954" s="10"/>
      <c r="K954" s="10"/>
      <c r="L954" s="10"/>
      <c r="M954" s="62">
        <f>+M948</f>
        <v>964638.9100000001</v>
      </c>
      <c r="N954" s="62"/>
      <c r="O954" s="62"/>
      <c r="P954" s="62"/>
      <c r="Q954" s="62"/>
      <c r="R954" s="439"/>
      <c r="S954" s="52"/>
      <c r="T954" s="52"/>
      <c r="V954" s="52">
        <f t="shared" si="122"/>
        <v>320511.08999999985</v>
      </c>
      <c r="AI954" s="52"/>
    </row>
    <row r="955" spans="1:35" ht="12">
      <c r="A955" s="149"/>
      <c r="B955" s="2"/>
      <c r="C955" s="2"/>
      <c r="D955" s="2"/>
      <c r="E955" s="5"/>
      <c r="F955" s="151" t="s">
        <v>268</v>
      </c>
      <c r="G955" s="20" t="s">
        <v>903</v>
      </c>
      <c r="H955" s="10"/>
      <c r="I955" s="10"/>
      <c r="J955" s="10">
        <f>+J950</f>
        <v>642790</v>
      </c>
      <c r="K955" s="10"/>
      <c r="L955" s="10"/>
      <c r="M955" s="62"/>
      <c r="N955" s="62"/>
      <c r="O955" s="62">
        <f>+O950</f>
        <v>642790</v>
      </c>
      <c r="P955" s="62"/>
      <c r="Q955" s="62"/>
      <c r="R955" s="439"/>
      <c r="S955" s="52"/>
      <c r="T955" s="52"/>
      <c r="V955" s="52">
        <f t="shared" si="122"/>
        <v>0</v>
      </c>
      <c r="AI955" s="52"/>
    </row>
    <row r="956" spans="1:35" ht="12">
      <c r="A956" s="149"/>
      <c r="B956" s="2"/>
      <c r="C956" s="2"/>
      <c r="D956" s="2"/>
      <c r="E956" s="5"/>
      <c r="F956" s="151" t="s">
        <v>413</v>
      </c>
      <c r="G956" s="20" t="s">
        <v>767</v>
      </c>
      <c r="H956" s="10"/>
      <c r="I956" s="10"/>
      <c r="J956" s="10">
        <f>+J951</f>
        <v>477376</v>
      </c>
      <c r="K956" s="10"/>
      <c r="L956" s="10"/>
      <c r="M956" s="62"/>
      <c r="N956" s="62"/>
      <c r="O956" s="62">
        <f>+O951</f>
        <v>417040</v>
      </c>
      <c r="P956" s="62"/>
      <c r="Q956" s="62"/>
      <c r="R956" s="439"/>
      <c r="S956" s="52"/>
      <c r="T956" s="52"/>
      <c r="V956" s="52">
        <f t="shared" si="122"/>
        <v>0</v>
      </c>
      <c r="AI956" s="52"/>
    </row>
    <row r="957" spans="1:35" ht="12">
      <c r="A957" s="150"/>
      <c r="B957" s="40"/>
      <c r="C957" s="40"/>
      <c r="D957" s="40"/>
      <c r="E957" s="19"/>
      <c r="F957" s="123"/>
      <c r="G957" s="90" t="s">
        <v>849</v>
      </c>
      <c r="H957" s="407"/>
      <c r="I957" s="407"/>
      <c r="J957" s="407"/>
      <c r="K957" s="407"/>
      <c r="L957" s="407">
        <f>+H954+J955+J956</f>
        <v>2405316</v>
      </c>
      <c r="M957" s="53"/>
      <c r="N957" s="53"/>
      <c r="O957" s="53"/>
      <c r="P957" s="53"/>
      <c r="Q957" s="53"/>
      <c r="R957" s="543">
        <f>+O956+O955+M954</f>
        <v>2024468.9100000001</v>
      </c>
      <c r="S957" s="52"/>
      <c r="T957" s="52"/>
      <c r="V957" s="52">
        <f t="shared" si="122"/>
        <v>0</v>
      </c>
      <c r="AI957" s="52"/>
    </row>
    <row r="958" spans="1:35" ht="12">
      <c r="A958" s="80"/>
      <c r="B958" s="80"/>
      <c r="C958" s="80"/>
      <c r="D958" s="88"/>
      <c r="E958" s="83"/>
      <c r="F958" s="142"/>
      <c r="G958" s="82"/>
      <c r="H958" s="399"/>
      <c r="I958" s="420"/>
      <c r="J958" s="420"/>
      <c r="K958" s="420"/>
      <c r="L958" s="420"/>
      <c r="M958" s="86"/>
      <c r="N958" s="86"/>
      <c r="O958" s="86"/>
      <c r="P958" s="86"/>
      <c r="Q958" s="86"/>
      <c r="R958" s="435"/>
      <c r="S958" s="52"/>
      <c r="T958" s="52"/>
      <c r="V958" s="52">
        <f t="shared" si="122"/>
        <v>0</v>
      </c>
      <c r="AI958" s="52"/>
    </row>
    <row r="959" spans="1:35" ht="12">
      <c r="A959" s="80"/>
      <c r="B959" s="80"/>
      <c r="C959" s="535" t="s">
        <v>347</v>
      </c>
      <c r="D959" s="88"/>
      <c r="E959" s="83"/>
      <c r="F959" s="142"/>
      <c r="G959" s="5" t="s">
        <v>904</v>
      </c>
      <c r="H959" s="399"/>
      <c r="I959" s="420"/>
      <c r="J959" s="420"/>
      <c r="K959" s="420"/>
      <c r="L959" s="420"/>
      <c r="M959" s="86"/>
      <c r="N959" s="86"/>
      <c r="O959" s="86"/>
      <c r="P959" s="86"/>
      <c r="Q959" s="86"/>
      <c r="R959" s="435"/>
      <c r="S959" s="52"/>
      <c r="T959" s="52"/>
      <c r="V959" s="52">
        <f t="shared" si="122"/>
        <v>0</v>
      </c>
      <c r="AI959" s="52"/>
    </row>
    <row r="960" spans="1:35" ht="12">
      <c r="A960" s="80"/>
      <c r="B960" s="80"/>
      <c r="C960" s="80"/>
      <c r="D960" s="89">
        <v>130</v>
      </c>
      <c r="E960" s="83"/>
      <c r="F960" s="142"/>
      <c r="G960" s="82" t="s">
        <v>775</v>
      </c>
      <c r="H960" s="399"/>
      <c r="I960" s="420"/>
      <c r="J960" s="420"/>
      <c r="K960" s="420"/>
      <c r="L960" s="420"/>
      <c r="M960" s="86"/>
      <c r="N960" s="86"/>
      <c r="O960" s="86"/>
      <c r="P960" s="86"/>
      <c r="Q960" s="86"/>
      <c r="R960" s="435"/>
      <c r="S960" s="52"/>
      <c r="T960" s="52"/>
      <c r="V960" s="52">
        <f t="shared" si="122"/>
        <v>0</v>
      </c>
      <c r="AI960" s="52"/>
    </row>
    <row r="961" spans="1:35" ht="12">
      <c r="A961" s="80">
        <f>A945+1</f>
        <v>237</v>
      </c>
      <c r="B961" s="80"/>
      <c r="C961" s="80"/>
      <c r="D961" s="89"/>
      <c r="E961" s="85">
        <v>421</v>
      </c>
      <c r="F961" s="112"/>
      <c r="G961" s="83" t="s">
        <v>567</v>
      </c>
      <c r="H961" s="399">
        <f>218000+2000</f>
        <v>220000</v>
      </c>
      <c r="I961" s="420"/>
      <c r="J961" s="420"/>
      <c r="K961" s="420"/>
      <c r="L961" s="399">
        <f>+H961+I961+J961+K961</f>
        <v>220000</v>
      </c>
      <c r="M961" s="386">
        <v>155023.14</v>
      </c>
      <c r="N961" s="386"/>
      <c r="O961" s="86"/>
      <c r="P961" s="55"/>
      <c r="Q961" s="86">
        <v>62397.94</v>
      </c>
      <c r="R961" s="435">
        <f>+M961/H961*100</f>
        <v>70.46506363636365</v>
      </c>
      <c r="S961" s="52"/>
      <c r="T961" s="52"/>
      <c r="V961" s="52">
        <f t="shared" si="122"/>
        <v>2578.9199999999837</v>
      </c>
      <c r="AI961" s="52"/>
    </row>
    <row r="962" spans="1:35" ht="12">
      <c r="A962" s="80">
        <f>A961+1</f>
        <v>238</v>
      </c>
      <c r="B962" s="80"/>
      <c r="C962" s="80"/>
      <c r="D962" s="89"/>
      <c r="E962" s="85">
        <v>423</v>
      </c>
      <c r="F962" s="112"/>
      <c r="G962" s="83" t="s">
        <v>539</v>
      </c>
      <c r="H962" s="399">
        <f>29000+60000-9000+T962</f>
        <v>112000</v>
      </c>
      <c r="I962" s="420"/>
      <c r="J962" s="420"/>
      <c r="K962" s="420"/>
      <c r="L962" s="399">
        <f>+H962+I962+J962+K962</f>
        <v>112000</v>
      </c>
      <c r="M962" s="386">
        <f>59809.16+50000</f>
        <v>109809.16</v>
      </c>
      <c r="N962" s="386"/>
      <c r="O962" s="86"/>
      <c r="P962" s="55"/>
      <c r="Q962" s="86"/>
      <c r="R962" s="435">
        <f>+M962/H962*100</f>
        <v>98.04389285714285</v>
      </c>
      <c r="S962" s="52"/>
      <c r="T962" s="52">
        <v>32000</v>
      </c>
      <c r="V962" s="52">
        <f t="shared" si="122"/>
        <v>2190.8399999999965</v>
      </c>
      <c r="AI962" s="52"/>
    </row>
    <row r="963" spans="1:35" ht="12">
      <c r="A963" s="126">
        <f>A962+1</f>
        <v>239</v>
      </c>
      <c r="B963" s="80"/>
      <c r="C963" s="80"/>
      <c r="D963" s="89"/>
      <c r="E963" s="85">
        <v>425</v>
      </c>
      <c r="F963" s="112"/>
      <c r="G963" s="83" t="s">
        <v>540</v>
      </c>
      <c r="H963" s="399">
        <f>115000+1404000-429000</f>
        <v>1090000</v>
      </c>
      <c r="I963" s="420"/>
      <c r="J963" s="420">
        <v>380000</v>
      </c>
      <c r="K963" s="463"/>
      <c r="L963" s="414">
        <f>+H963+I963+J963+K963</f>
        <v>1470000</v>
      </c>
      <c r="M963" s="386">
        <f>9000+695135.52</f>
        <v>704135.52</v>
      </c>
      <c r="N963" s="386"/>
      <c r="O963" s="86">
        <v>239572.32</v>
      </c>
      <c r="P963" s="55"/>
      <c r="Q963" s="86">
        <v>138200</v>
      </c>
      <c r="R963" s="436">
        <f>+M963/H963*100</f>
        <v>64.59958899082568</v>
      </c>
      <c r="S963" s="52"/>
      <c r="T963" s="52"/>
      <c r="V963" s="52">
        <f t="shared" si="122"/>
        <v>247664.47999999998</v>
      </c>
      <c r="AI963" s="52"/>
    </row>
    <row r="964" spans="1:35" ht="12">
      <c r="A964" s="126" t="s">
        <v>422</v>
      </c>
      <c r="B964" s="24"/>
      <c r="C964" s="126"/>
      <c r="D964" s="512"/>
      <c r="E964" s="127">
        <v>426</v>
      </c>
      <c r="F964" s="114"/>
      <c r="G964" s="129" t="s">
        <v>530</v>
      </c>
      <c r="H964" s="414">
        <v>82000</v>
      </c>
      <c r="I964" s="18"/>
      <c r="J964" s="513">
        <v>10400</v>
      </c>
      <c r="K964" s="513"/>
      <c r="L964" s="414">
        <f>+H964+I964+J964+K964</f>
        <v>92400</v>
      </c>
      <c r="M964" s="86">
        <v>54604.24</v>
      </c>
      <c r="N964" s="86"/>
      <c r="O964" s="86">
        <v>5670</v>
      </c>
      <c r="P964" s="86"/>
      <c r="Q964" s="86">
        <v>22000</v>
      </c>
      <c r="R964" s="436">
        <f>+M964/H964*100</f>
        <v>66.59053658536585</v>
      </c>
      <c r="S964" s="52"/>
      <c r="T964" s="52"/>
      <c r="V964" s="52">
        <f t="shared" si="122"/>
        <v>5395.760000000009</v>
      </c>
      <c r="AI964" s="52"/>
    </row>
    <row r="965" spans="1:35" ht="12">
      <c r="A965" s="126">
        <f>A963+1</f>
        <v>240</v>
      </c>
      <c r="B965" s="24"/>
      <c r="C965" s="126"/>
      <c r="D965" s="24"/>
      <c r="E965" s="127">
        <v>482</v>
      </c>
      <c r="F965" s="109"/>
      <c r="G965" s="129" t="s">
        <v>541</v>
      </c>
      <c r="H965" s="414"/>
      <c r="I965" s="415"/>
      <c r="J965" s="416"/>
      <c r="K965" s="416"/>
      <c r="L965" s="414">
        <f>+H965+I965+J965+K965</f>
        <v>0</v>
      </c>
      <c r="M965" s="52">
        <v>0</v>
      </c>
      <c r="N965" s="130"/>
      <c r="O965" s="393"/>
      <c r="P965" s="52"/>
      <c r="Q965" s="393"/>
      <c r="R965" s="436"/>
      <c r="S965" s="52"/>
      <c r="T965" s="52"/>
      <c r="V965" s="52">
        <f t="shared" si="122"/>
        <v>0</v>
      </c>
      <c r="AI965" s="52"/>
    </row>
    <row r="966" spans="1:35" ht="12">
      <c r="A966" s="451"/>
      <c r="B966" s="33"/>
      <c r="C966" s="451"/>
      <c r="D966" s="33"/>
      <c r="E966" s="452"/>
      <c r="F966" s="17"/>
      <c r="G966" s="453" t="s">
        <v>604</v>
      </c>
      <c r="H966" s="454"/>
      <c r="I966" s="10"/>
      <c r="J966" s="455"/>
      <c r="K966" s="455"/>
      <c r="L966" s="454"/>
      <c r="M966" s="52"/>
      <c r="N966" s="135"/>
      <c r="O966" s="393"/>
      <c r="P966" s="52"/>
      <c r="Q966" s="393"/>
      <c r="R966" s="443"/>
      <c r="S966" s="52"/>
      <c r="T966" s="52"/>
      <c r="V966" s="52">
        <f t="shared" si="122"/>
        <v>0</v>
      </c>
      <c r="AI966" s="52"/>
    </row>
    <row r="967" spans="1:35" ht="12">
      <c r="A967" s="80" t="s">
        <v>381</v>
      </c>
      <c r="B967" s="80"/>
      <c r="C967" s="80"/>
      <c r="D967" s="80"/>
      <c r="E967" s="85">
        <v>511</v>
      </c>
      <c r="F967" s="125"/>
      <c r="G967" s="83" t="s">
        <v>534</v>
      </c>
      <c r="H967" s="399">
        <f>1604253+444000+T967</f>
        <v>2016253</v>
      </c>
      <c r="I967" s="399"/>
      <c r="J967" s="399">
        <f>573931+1367727</f>
        <v>1941658</v>
      </c>
      <c r="K967" s="414"/>
      <c r="L967" s="386">
        <f>+H967+I967+J967+K967</f>
        <v>3957911</v>
      </c>
      <c r="M967" s="86">
        <v>0</v>
      </c>
      <c r="N967" s="86"/>
      <c r="O967" s="86">
        <v>1367727</v>
      </c>
      <c r="P967" s="86"/>
      <c r="Q967" s="86">
        <v>938793</v>
      </c>
      <c r="R967" s="435">
        <f>+M967/H967*100</f>
        <v>0</v>
      </c>
      <c r="S967" s="52"/>
      <c r="T967" s="52">
        <v>-32000</v>
      </c>
      <c r="V967" s="52">
        <f t="shared" si="122"/>
        <v>1077460</v>
      </c>
      <c r="AI967" s="52"/>
    </row>
    <row r="968" spans="1:35" ht="12">
      <c r="A968" s="40"/>
      <c r="B968" s="12"/>
      <c r="C968" s="12"/>
      <c r="D968" s="12"/>
      <c r="E968" s="3"/>
      <c r="F968" s="103"/>
      <c r="G968" s="48" t="s">
        <v>850</v>
      </c>
      <c r="H968" s="91">
        <f>SUM(H961:H967)</f>
        <v>3520253</v>
      </c>
      <c r="I968" s="91">
        <f>SUM(I961:I967)</f>
        <v>0</v>
      </c>
      <c r="J968" s="91">
        <f>SUM(J961:J967)</f>
        <v>2332058</v>
      </c>
      <c r="K968" s="91">
        <f>SUM(K961:K966)</f>
        <v>0</v>
      </c>
      <c r="L968" s="91">
        <f>+H968+I968+J968</f>
        <v>5852311</v>
      </c>
      <c r="M968" s="499">
        <f>SUM(M961:M967)</f>
        <v>1023572.06</v>
      </c>
      <c r="N968" s="499"/>
      <c r="O968" s="499">
        <f>SUM(O961:O967)</f>
        <v>1612969.32</v>
      </c>
      <c r="P968" s="86"/>
      <c r="Q968" s="86">
        <f>SUM(Q961:Q967)</f>
        <v>1161390.94</v>
      </c>
      <c r="R968" s="437">
        <f>+M968/H968*100</f>
        <v>29.076661819477177</v>
      </c>
      <c r="S968" s="52"/>
      <c r="T968" s="52"/>
      <c r="V968" s="52">
        <f t="shared" si="122"/>
        <v>1335290</v>
      </c>
      <c r="AB968" s="52"/>
      <c r="AI968" s="52"/>
    </row>
    <row r="969" spans="1:35" ht="12">
      <c r="A969" s="148"/>
      <c r="B969" s="13"/>
      <c r="C969" s="13"/>
      <c r="D969" s="13"/>
      <c r="E969" s="15"/>
      <c r="F969" s="105"/>
      <c r="G969" s="39" t="s">
        <v>691</v>
      </c>
      <c r="H969" s="415"/>
      <c r="I969" s="415"/>
      <c r="J969" s="415"/>
      <c r="K969" s="415"/>
      <c r="L969" s="415"/>
      <c r="M969" s="61"/>
      <c r="N969" s="61"/>
      <c r="O969" s="61"/>
      <c r="P969" s="61"/>
      <c r="Q969" s="61"/>
      <c r="R969" s="438"/>
      <c r="S969" s="52"/>
      <c r="T969" s="52"/>
      <c r="V969" s="52">
        <f t="shared" si="122"/>
        <v>0</v>
      </c>
      <c r="AI969" s="52"/>
    </row>
    <row r="970" spans="1:35" ht="12">
      <c r="A970" s="149"/>
      <c r="B970" s="2"/>
      <c r="C970" s="2"/>
      <c r="D970" s="2"/>
      <c r="E970" s="5"/>
      <c r="F970" s="151" t="s">
        <v>73</v>
      </c>
      <c r="G970" s="20" t="s">
        <v>674</v>
      </c>
      <c r="H970" s="10">
        <f>+H968</f>
        <v>3520253</v>
      </c>
      <c r="I970" s="10"/>
      <c r="J970" s="10"/>
      <c r="K970" s="10"/>
      <c r="L970" s="10"/>
      <c r="M970" s="62">
        <f>+M968</f>
        <v>1023572.06</v>
      </c>
      <c r="N970" s="62"/>
      <c r="O970" s="62"/>
      <c r="P970" s="62"/>
      <c r="Q970" s="62"/>
      <c r="R970" s="439"/>
      <c r="S970" s="52"/>
      <c r="T970" s="52"/>
      <c r="V970" s="52">
        <f t="shared" si="122"/>
        <v>2496680.94</v>
      </c>
      <c r="AC970" s="52"/>
      <c r="AD970" s="52"/>
      <c r="AI970" s="52"/>
    </row>
    <row r="971" spans="1:35" ht="12">
      <c r="A971" s="149"/>
      <c r="B971" s="2"/>
      <c r="C971" s="2"/>
      <c r="D971" s="2"/>
      <c r="E971" s="5"/>
      <c r="F971" s="151"/>
      <c r="G971" s="20" t="s">
        <v>909</v>
      </c>
      <c r="H971" s="10">
        <v>1404000</v>
      </c>
      <c r="I971" s="10"/>
      <c r="J971" s="10"/>
      <c r="K971" s="10"/>
      <c r="L971" s="10"/>
      <c r="M971" s="62"/>
      <c r="N971" s="62"/>
      <c r="O971" s="62"/>
      <c r="P971" s="62"/>
      <c r="Q971" s="62"/>
      <c r="R971" s="439"/>
      <c r="S971" s="52"/>
      <c r="T971" s="52"/>
      <c r="V971" s="52">
        <f t="shared" si="122"/>
        <v>1404000</v>
      </c>
      <c r="AI971" s="52"/>
    </row>
    <row r="972" spans="1:35" ht="12">
      <c r="A972" s="149"/>
      <c r="B972" s="2"/>
      <c r="C972" s="2"/>
      <c r="D972" s="2"/>
      <c r="E972" s="5"/>
      <c r="F972" s="151" t="s">
        <v>268</v>
      </c>
      <c r="G972" s="20" t="s">
        <v>903</v>
      </c>
      <c r="H972" s="10"/>
      <c r="I972" s="10"/>
      <c r="J972" s="10">
        <f>+J968-964331</f>
        <v>1367727</v>
      </c>
      <c r="K972" s="10"/>
      <c r="L972" s="10"/>
      <c r="M972" s="62"/>
      <c r="N972" s="62"/>
      <c r="O972" s="62">
        <f>+O968-O964-O963</f>
        <v>1367727</v>
      </c>
      <c r="P972" s="62"/>
      <c r="Q972" s="62"/>
      <c r="R972" s="439"/>
      <c r="S972" s="52"/>
      <c r="T972" s="52"/>
      <c r="V972" s="52">
        <f t="shared" si="122"/>
        <v>0</v>
      </c>
      <c r="AI972" s="52"/>
    </row>
    <row r="973" spans="1:35" ht="12">
      <c r="A973" s="149"/>
      <c r="B973" s="2"/>
      <c r="C973" s="2"/>
      <c r="D973" s="2"/>
      <c r="E973" s="5"/>
      <c r="F973" s="151" t="s">
        <v>413</v>
      </c>
      <c r="G973" s="20" t="s">
        <v>767</v>
      </c>
      <c r="H973" s="10"/>
      <c r="I973" s="10"/>
      <c r="J973" s="10">
        <f>+J968-1367727</f>
        <v>964331</v>
      </c>
      <c r="K973" s="10"/>
      <c r="L973" s="10"/>
      <c r="M973" s="62"/>
      <c r="N973" s="62"/>
      <c r="O973" s="62">
        <f>+O968-O967</f>
        <v>245242.32000000007</v>
      </c>
      <c r="P973" s="62"/>
      <c r="Q973" s="62"/>
      <c r="R973" s="439"/>
      <c r="S973" s="52"/>
      <c r="T973" s="52"/>
      <c r="V973" s="52">
        <f t="shared" si="122"/>
        <v>0</v>
      </c>
      <c r="AI973" s="52"/>
    </row>
    <row r="974" spans="1:35" ht="12">
      <c r="A974" s="149"/>
      <c r="B974" s="2"/>
      <c r="C974" s="2"/>
      <c r="D974" s="2"/>
      <c r="E974" s="5"/>
      <c r="F974" s="151"/>
      <c r="G974" s="1" t="s">
        <v>692</v>
      </c>
      <c r="H974" s="10"/>
      <c r="I974" s="10"/>
      <c r="J974" s="10"/>
      <c r="K974" s="10"/>
      <c r="L974" s="10">
        <f>+H970+J972+J973</f>
        <v>5852311</v>
      </c>
      <c r="M974" s="62"/>
      <c r="N974" s="62"/>
      <c r="O974" s="62"/>
      <c r="P974" s="62"/>
      <c r="Q974" s="62"/>
      <c r="R974" s="439"/>
      <c r="S974" s="52"/>
      <c r="T974" s="52"/>
      <c r="V974" s="52">
        <f t="shared" si="122"/>
        <v>0</v>
      </c>
      <c r="AI974" s="52"/>
    </row>
    <row r="975" spans="1:35" ht="12">
      <c r="A975" s="149"/>
      <c r="B975" s="2"/>
      <c r="C975" s="2"/>
      <c r="D975" s="2"/>
      <c r="E975" s="5"/>
      <c r="F975" s="151"/>
      <c r="G975" s="1" t="s">
        <v>877</v>
      </c>
      <c r="H975" s="10"/>
      <c r="I975" s="10"/>
      <c r="J975" s="10"/>
      <c r="K975" s="10"/>
      <c r="L975" s="10"/>
      <c r="M975" s="62"/>
      <c r="N975" s="62"/>
      <c r="O975" s="62"/>
      <c r="P975" s="62"/>
      <c r="Q975" s="62"/>
      <c r="R975" s="439"/>
      <c r="S975" s="52"/>
      <c r="T975" s="52"/>
      <c r="V975" s="52">
        <f t="shared" si="122"/>
        <v>0</v>
      </c>
      <c r="AI975" s="52"/>
    </row>
    <row r="976" spans="1:35" ht="12">
      <c r="A976" s="149"/>
      <c r="B976" s="2"/>
      <c r="C976" s="2"/>
      <c r="D976" s="2"/>
      <c r="E976" s="5"/>
      <c r="F976" s="151" t="s">
        <v>73</v>
      </c>
      <c r="G976" s="20" t="s">
        <v>674</v>
      </c>
      <c r="H976" s="10">
        <f>+H970</f>
        <v>3520253</v>
      </c>
      <c r="I976" s="10"/>
      <c r="J976" s="10"/>
      <c r="K976" s="10"/>
      <c r="L976" s="10"/>
      <c r="M976" s="62">
        <f>+M970</f>
        <v>1023572.06</v>
      </c>
      <c r="N976" s="62"/>
      <c r="O976" s="62"/>
      <c r="P976" s="62"/>
      <c r="Q976" s="62"/>
      <c r="R976" s="439"/>
      <c r="S976" s="52"/>
      <c r="T976" s="52"/>
      <c r="V976" s="52">
        <f t="shared" si="122"/>
        <v>2496680.94</v>
      </c>
      <c r="AI976" s="52"/>
    </row>
    <row r="977" spans="1:35" ht="12">
      <c r="A977" s="149"/>
      <c r="B977" s="2"/>
      <c r="C977" s="2"/>
      <c r="D977" s="2"/>
      <c r="E977" s="5"/>
      <c r="F977" s="151" t="s">
        <v>268</v>
      </c>
      <c r="G977" s="20" t="s">
        <v>903</v>
      </c>
      <c r="H977" s="10"/>
      <c r="I977" s="10"/>
      <c r="J977" s="10">
        <f>+J972</f>
        <v>1367727</v>
      </c>
      <c r="K977" s="10"/>
      <c r="L977" s="10"/>
      <c r="M977" s="62"/>
      <c r="N977" s="62"/>
      <c r="O977" s="62">
        <f>+O972</f>
        <v>1367727</v>
      </c>
      <c r="P977" s="62"/>
      <c r="Q977" s="62"/>
      <c r="R977" s="439"/>
      <c r="S977" s="52"/>
      <c r="T977" s="52"/>
      <c r="V977" s="52">
        <f t="shared" si="122"/>
        <v>0</v>
      </c>
      <c r="AI977" s="52"/>
    </row>
    <row r="978" spans="1:35" ht="12">
      <c r="A978" s="149"/>
      <c r="B978" s="2"/>
      <c r="C978" s="2"/>
      <c r="D978" s="2"/>
      <c r="E978" s="5"/>
      <c r="F978" s="151" t="s">
        <v>413</v>
      </c>
      <c r="G978" s="20" t="s">
        <v>767</v>
      </c>
      <c r="H978" s="10"/>
      <c r="I978" s="10"/>
      <c r="J978" s="10">
        <f>+J973</f>
        <v>964331</v>
      </c>
      <c r="K978" s="10"/>
      <c r="L978" s="10"/>
      <c r="M978" s="62"/>
      <c r="N978" s="62"/>
      <c r="O978" s="62">
        <f>+O973</f>
        <v>245242.32000000007</v>
      </c>
      <c r="P978" s="62"/>
      <c r="Q978" s="62"/>
      <c r="R978" s="439"/>
      <c r="S978" s="52"/>
      <c r="T978" s="52"/>
      <c r="V978" s="52">
        <f t="shared" si="122"/>
        <v>0</v>
      </c>
      <c r="AI978" s="52"/>
    </row>
    <row r="979" spans="1:35" ht="12">
      <c r="A979" s="150"/>
      <c r="B979" s="40"/>
      <c r="C979" s="40"/>
      <c r="D979" s="40"/>
      <c r="E979" s="19"/>
      <c r="F979" s="123"/>
      <c r="G979" s="90" t="s">
        <v>851</v>
      </c>
      <c r="H979" s="407"/>
      <c r="I979" s="407"/>
      <c r="J979" s="407"/>
      <c r="K979" s="407"/>
      <c r="L979" s="407">
        <f>+H976+J977+J978</f>
        <v>5852311</v>
      </c>
      <c r="M979" s="53"/>
      <c r="N979" s="53"/>
      <c r="O979" s="53"/>
      <c r="P979" s="53"/>
      <c r="Q979" s="53"/>
      <c r="R979" s="543">
        <f>+O978+O977+M976</f>
        <v>2636541.38</v>
      </c>
      <c r="S979" s="52"/>
      <c r="T979" s="52"/>
      <c r="V979" s="52">
        <f t="shared" si="122"/>
        <v>0</v>
      </c>
      <c r="AI979" s="52"/>
    </row>
    <row r="980" spans="1:35" ht="12">
      <c r="A980" s="80"/>
      <c r="B980" s="80"/>
      <c r="C980" s="80"/>
      <c r="D980" s="88"/>
      <c r="E980" s="83"/>
      <c r="F980" s="142"/>
      <c r="G980" s="82"/>
      <c r="H980" s="399"/>
      <c r="I980" s="420"/>
      <c r="J980" s="420"/>
      <c r="K980" s="420"/>
      <c r="L980" s="420"/>
      <c r="M980" s="86"/>
      <c r="N980" s="86"/>
      <c r="O980" s="86"/>
      <c r="P980" s="86"/>
      <c r="Q980" s="86"/>
      <c r="R980" s="435"/>
      <c r="S980" s="52"/>
      <c r="T980" s="52"/>
      <c r="V980" s="52">
        <f t="shared" si="122"/>
        <v>0</v>
      </c>
      <c r="AI980" s="52"/>
    </row>
    <row r="981" spans="1:35" ht="12">
      <c r="A981" s="80"/>
      <c r="B981" s="80"/>
      <c r="C981" s="535" t="s">
        <v>348</v>
      </c>
      <c r="D981" s="88"/>
      <c r="E981" s="83"/>
      <c r="F981" s="142"/>
      <c r="G981" s="5" t="s">
        <v>905</v>
      </c>
      <c r="H981" s="399"/>
      <c r="I981" s="420"/>
      <c r="J981" s="420"/>
      <c r="K981" s="420"/>
      <c r="L981" s="420"/>
      <c r="M981" s="86"/>
      <c r="N981" s="86"/>
      <c r="O981" s="86"/>
      <c r="P981" s="86"/>
      <c r="Q981" s="86"/>
      <c r="R981" s="435"/>
      <c r="S981" s="52"/>
      <c r="T981" s="52"/>
      <c r="V981" s="52">
        <f t="shared" si="122"/>
        <v>0</v>
      </c>
      <c r="AI981" s="52"/>
    </row>
    <row r="982" spans="1:35" ht="12">
      <c r="A982" s="80"/>
      <c r="B982" s="80"/>
      <c r="C982" s="80"/>
      <c r="D982" s="89">
        <v>130</v>
      </c>
      <c r="E982" s="83"/>
      <c r="F982" s="142"/>
      <c r="G982" s="82" t="s">
        <v>775</v>
      </c>
      <c r="H982" s="399"/>
      <c r="I982" s="420"/>
      <c r="J982" s="420"/>
      <c r="K982" s="420"/>
      <c r="L982" s="420"/>
      <c r="M982" s="86"/>
      <c r="N982" s="86"/>
      <c r="O982" s="86"/>
      <c r="P982" s="86"/>
      <c r="Q982" s="86"/>
      <c r="R982" s="435"/>
      <c r="S982" s="52"/>
      <c r="T982" s="52"/>
      <c r="V982" s="52">
        <f t="shared" si="122"/>
        <v>0</v>
      </c>
      <c r="AI982" s="52"/>
    </row>
    <row r="983" spans="1:35" ht="12">
      <c r="A983" s="80">
        <f>+A965+1</f>
        <v>241</v>
      </c>
      <c r="B983" s="80"/>
      <c r="C983" s="80"/>
      <c r="D983" s="89"/>
      <c r="E983" s="85">
        <v>421</v>
      </c>
      <c r="F983" s="112"/>
      <c r="G983" s="83" t="s">
        <v>567</v>
      </c>
      <c r="H983" s="399">
        <v>20000</v>
      </c>
      <c r="I983" s="420"/>
      <c r="J983" s="420"/>
      <c r="K983" s="420"/>
      <c r="L983" s="386">
        <f>+H983+I983+J983+K983</f>
        <v>20000</v>
      </c>
      <c r="M983" s="86">
        <f>-2961.55+9604.62</f>
        <v>6643.070000000001</v>
      </c>
      <c r="N983" s="86"/>
      <c r="O983" s="86"/>
      <c r="P983" s="86"/>
      <c r="Q983" s="86"/>
      <c r="R983" s="435">
        <f>+M983/H983*100</f>
        <v>33.21535000000001</v>
      </c>
      <c r="S983" s="52"/>
      <c r="T983" s="52"/>
      <c r="V983" s="52">
        <f t="shared" si="122"/>
        <v>13356.93</v>
      </c>
      <c r="AI983" s="52"/>
    </row>
    <row r="984" spans="1:35" ht="12">
      <c r="A984" s="80">
        <f>+A983+1</f>
        <v>242</v>
      </c>
      <c r="B984" s="80"/>
      <c r="C984" s="80"/>
      <c r="D984" s="89"/>
      <c r="E984" s="85">
        <v>424</v>
      </c>
      <c r="F984" s="112"/>
      <c r="G984" s="83" t="s">
        <v>554</v>
      </c>
      <c r="H984" s="399">
        <v>50000</v>
      </c>
      <c r="I984" s="420"/>
      <c r="J984" s="420"/>
      <c r="K984" s="420"/>
      <c r="L984" s="386">
        <f>+H984+I984+J984+K984</f>
        <v>50000</v>
      </c>
      <c r="M984" s="86">
        <v>0</v>
      </c>
      <c r="N984" s="86"/>
      <c r="O984" s="86"/>
      <c r="P984" s="86"/>
      <c r="Q984" s="86">
        <v>48000</v>
      </c>
      <c r="R984" s="435">
        <f>+M984/H984*100</f>
        <v>0</v>
      </c>
      <c r="S984" s="52"/>
      <c r="T984" s="52"/>
      <c r="V984" s="52">
        <f t="shared" si="122"/>
        <v>2000</v>
      </c>
      <c r="AI984" s="52"/>
    </row>
    <row r="985" spans="1:35" ht="12">
      <c r="A985" s="80">
        <f>+A984+1</f>
        <v>243</v>
      </c>
      <c r="B985" s="80"/>
      <c r="C985" s="80"/>
      <c r="D985" s="89"/>
      <c r="E985" s="85">
        <v>425</v>
      </c>
      <c r="F985" s="112"/>
      <c r="G985" s="83" t="s">
        <v>540</v>
      </c>
      <c r="H985" s="399">
        <v>259000</v>
      </c>
      <c r="I985" s="420"/>
      <c r="J985" s="420">
        <v>69771</v>
      </c>
      <c r="K985" s="420"/>
      <c r="L985" s="386">
        <f>+H985+I985+J985+K985</f>
        <v>328771</v>
      </c>
      <c r="M985" s="86">
        <v>0</v>
      </c>
      <c r="N985" s="86"/>
      <c r="O985" s="86"/>
      <c r="P985" s="86"/>
      <c r="Q985" s="86">
        <f>69771+123009</f>
        <v>192780</v>
      </c>
      <c r="R985" s="435">
        <f>+M985/H985*100</f>
        <v>0</v>
      </c>
      <c r="S985" s="52"/>
      <c r="T985" s="52"/>
      <c r="V985" s="52">
        <f aca="true" t="shared" si="127" ref="V985:V1048">+H985-(M985+Q985)</f>
        <v>66220</v>
      </c>
      <c r="AI985" s="52"/>
    </row>
    <row r="986" spans="1:35" ht="12">
      <c r="A986" s="80">
        <f>+A985+1</f>
        <v>244</v>
      </c>
      <c r="B986" s="80"/>
      <c r="C986" s="80"/>
      <c r="D986" s="89"/>
      <c r="E986" s="85">
        <v>426</v>
      </c>
      <c r="F986" s="112"/>
      <c r="G986" s="83" t="s">
        <v>530</v>
      </c>
      <c r="H986" s="399">
        <v>150000</v>
      </c>
      <c r="I986" s="420"/>
      <c r="J986" s="420">
        <v>50000</v>
      </c>
      <c r="K986" s="420"/>
      <c r="L986" s="386">
        <f>+H986+I986+J986+K986</f>
        <v>200000</v>
      </c>
      <c r="M986" s="86">
        <v>4518.05</v>
      </c>
      <c r="N986" s="86"/>
      <c r="O986" s="86"/>
      <c r="P986" s="86"/>
      <c r="Q986" s="86">
        <f>145000+50000</f>
        <v>195000</v>
      </c>
      <c r="R986" s="435">
        <f>+M986/H986*100</f>
        <v>3.0120333333333336</v>
      </c>
      <c r="S986" s="52"/>
      <c r="T986" s="52"/>
      <c r="V986" s="52">
        <f t="shared" si="127"/>
        <v>-49518.04999999999</v>
      </c>
      <c r="AI986" s="52"/>
    </row>
    <row r="987" spans="1:35" ht="12">
      <c r="A987" s="12"/>
      <c r="B987" s="12"/>
      <c r="C987" s="12"/>
      <c r="D987" s="12"/>
      <c r="E987" s="3"/>
      <c r="F987" s="103"/>
      <c r="G987" s="48" t="s">
        <v>852</v>
      </c>
      <c r="H987" s="91">
        <f aca="true" t="shared" si="128" ref="H987:M987">SUM(H983:H986)</f>
        <v>479000</v>
      </c>
      <c r="I987" s="91">
        <f t="shared" si="128"/>
        <v>0</v>
      </c>
      <c r="J987" s="91">
        <f>SUM(J983:J986)</f>
        <v>119771</v>
      </c>
      <c r="K987" s="91">
        <f t="shared" si="128"/>
        <v>0</v>
      </c>
      <c r="L987" s="91">
        <f t="shared" si="128"/>
        <v>598771</v>
      </c>
      <c r="M987" s="508">
        <f t="shared" si="128"/>
        <v>11161.12</v>
      </c>
      <c r="N987" s="508"/>
      <c r="O987" s="130"/>
      <c r="P987" s="130"/>
      <c r="Q987" s="130">
        <f>SUM(Q983:Q986)</f>
        <v>435780</v>
      </c>
      <c r="R987" s="435">
        <f>+M987/H987*100</f>
        <v>2.330087682672234</v>
      </c>
      <c r="S987" s="52"/>
      <c r="T987" s="52"/>
      <c r="V987" s="52">
        <f t="shared" si="127"/>
        <v>32058.880000000005</v>
      </c>
      <c r="AB987" s="52"/>
      <c r="AI987" s="52"/>
    </row>
    <row r="988" spans="1:35" ht="12">
      <c r="A988" s="148"/>
      <c r="B988" s="13"/>
      <c r="C988" s="13"/>
      <c r="D988" s="13"/>
      <c r="E988" s="15"/>
      <c r="F988" s="105"/>
      <c r="G988" s="39" t="s">
        <v>691</v>
      </c>
      <c r="H988" s="415"/>
      <c r="I988" s="415"/>
      <c r="J988" s="415"/>
      <c r="K988" s="415"/>
      <c r="L988" s="415"/>
      <c r="M988" s="61"/>
      <c r="N988" s="61"/>
      <c r="O988" s="61"/>
      <c r="P988" s="61"/>
      <c r="Q988" s="61"/>
      <c r="R988" s="438"/>
      <c r="S988" s="52"/>
      <c r="T988" s="52"/>
      <c r="V988" s="52">
        <f t="shared" si="127"/>
        <v>0</v>
      </c>
      <c r="AI988" s="52"/>
    </row>
    <row r="989" spans="1:35" ht="12">
      <c r="A989" s="149"/>
      <c r="B989" s="2"/>
      <c r="C989" s="2"/>
      <c r="D989" s="2"/>
      <c r="E989" s="5"/>
      <c r="F989" s="151" t="s">
        <v>73</v>
      </c>
      <c r="G989" s="20" t="s">
        <v>674</v>
      </c>
      <c r="H989" s="10">
        <f>+H987</f>
        <v>479000</v>
      </c>
      <c r="I989" s="10"/>
      <c r="J989" s="10"/>
      <c r="K989" s="10"/>
      <c r="L989" s="10"/>
      <c r="M989" s="62">
        <f>+M987</f>
        <v>11161.12</v>
      </c>
      <c r="N989" s="62"/>
      <c r="O989" s="62"/>
      <c r="P989" s="62"/>
      <c r="Q989" s="62"/>
      <c r="R989" s="439"/>
      <c r="S989" s="52"/>
      <c r="T989" s="52"/>
      <c r="V989" s="52">
        <f t="shared" si="127"/>
        <v>467838.88</v>
      </c>
      <c r="AC989" s="52"/>
      <c r="AD989" s="52"/>
      <c r="AI989" s="52"/>
    </row>
    <row r="990" spans="1:35" ht="12">
      <c r="A990" s="149"/>
      <c r="B990" s="2"/>
      <c r="C990" s="2"/>
      <c r="D990" s="2"/>
      <c r="E990" s="5"/>
      <c r="F990" s="151" t="s">
        <v>413</v>
      </c>
      <c r="G990" s="20" t="s">
        <v>767</v>
      </c>
      <c r="H990" s="10"/>
      <c r="I990" s="10"/>
      <c r="J990" s="10">
        <f>+J987</f>
        <v>119771</v>
      </c>
      <c r="K990" s="10"/>
      <c r="L990" s="10"/>
      <c r="M990" s="62"/>
      <c r="N990" s="62"/>
      <c r="O990" s="62"/>
      <c r="P990" s="62"/>
      <c r="Q990" s="62"/>
      <c r="R990" s="439"/>
      <c r="S990" s="52"/>
      <c r="T990" s="52"/>
      <c r="V990" s="52">
        <f t="shared" si="127"/>
        <v>0</v>
      </c>
      <c r="AC990" s="52"/>
      <c r="AD990" s="52"/>
      <c r="AI990" s="52"/>
    </row>
    <row r="991" spans="1:35" ht="12">
      <c r="A991" s="149"/>
      <c r="B991" s="2"/>
      <c r="C991" s="2"/>
      <c r="D991" s="2"/>
      <c r="E991" s="5"/>
      <c r="F991" s="151"/>
      <c r="G991" s="1" t="s">
        <v>692</v>
      </c>
      <c r="H991" s="10"/>
      <c r="I991" s="10"/>
      <c r="J991" s="10"/>
      <c r="K991" s="10"/>
      <c r="L991" s="10">
        <f>+H989+J990</f>
        <v>598771</v>
      </c>
      <c r="M991" s="62"/>
      <c r="N991" s="62"/>
      <c r="O991" s="62"/>
      <c r="P991" s="62"/>
      <c r="Q991" s="62"/>
      <c r="R991" s="439"/>
      <c r="S991" s="52"/>
      <c r="T991" s="52"/>
      <c r="V991" s="52">
        <f t="shared" si="127"/>
        <v>0</v>
      </c>
      <c r="AI991" s="52"/>
    </row>
    <row r="992" spans="1:35" ht="12">
      <c r="A992" s="149"/>
      <c r="B992" s="2"/>
      <c r="C992" s="2"/>
      <c r="D992" s="2"/>
      <c r="E992" s="5"/>
      <c r="F992" s="151"/>
      <c r="G992" s="1" t="s">
        <v>878</v>
      </c>
      <c r="H992" s="10"/>
      <c r="I992" s="10"/>
      <c r="J992" s="10"/>
      <c r="K992" s="10"/>
      <c r="L992" s="10"/>
      <c r="M992" s="62"/>
      <c r="N992" s="62"/>
      <c r="O992" s="62"/>
      <c r="P992" s="62"/>
      <c r="Q992" s="62"/>
      <c r="R992" s="439"/>
      <c r="S992" s="52"/>
      <c r="T992" s="52"/>
      <c r="V992" s="52">
        <f t="shared" si="127"/>
        <v>0</v>
      </c>
      <c r="AI992" s="52"/>
    </row>
    <row r="993" spans="1:35" ht="12">
      <c r="A993" s="149"/>
      <c r="B993" s="2"/>
      <c r="C993" s="2"/>
      <c r="D993" s="2"/>
      <c r="E993" s="5"/>
      <c r="F993" s="151" t="s">
        <v>73</v>
      </c>
      <c r="G993" s="20" t="s">
        <v>674</v>
      </c>
      <c r="H993" s="10">
        <f>+H989</f>
        <v>479000</v>
      </c>
      <c r="I993" s="10"/>
      <c r="J993" s="10"/>
      <c r="K993" s="10"/>
      <c r="L993" s="10"/>
      <c r="M993" s="62">
        <f>+M989</f>
        <v>11161.12</v>
      </c>
      <c r="N993" s="62"/>
      <c r="O993" s="62"/>
      <c r="P993" s="62"/>
      <c r="Q993" s="62"/>
      <c r="R993" s="439"/>
      <c r="S993" s="52"/>
      <c r="T993" s="52"/>
      <c r="V993" s="52">
        <f t="shared" si="127"/>
        <v>467838.88</v>
      </c>
      <c r="AI993" s="52"/>
    </row>
    <row r="994" spans="1:35" ht="12">
      <c r="A994" s="149"/>
      <c r="B994" s="2"/>
      <c r="C994" s="2"/>
      <c r="D994" s="2"/>
      <c r="E994" s="5"/>
      <c r="F994" s="151" t="s">
        <v>413</v>
      </c>
      <c r="G994" s="20" t="s">
        <v>767</v>
      </c>
      <c r="H994" s="10"/>
      <c r="I994" s="10"/>
      <c r="J994" s="10">
        <f>+J990</f>
        <v>119771</v>
      </c>
      <c r="K994" s="10"/>
      <c r="L994" s="10"/>
      <c r="M994" s="62"/>
      <c r="N994" s="62"/>
      <c r="O994" s="62"/>
      <c r="P994" s="62"/>
      <c r="Q994" s="62"/>
      <c r="R994" s="439"/>
      <c r="S994" s="52"/>
      <c r="T994" s="52"/>
      <c r="V994" s="52">
        <f t="shared" si="127"/>
        <v>0</v>
      </c>
      <c r="AI994" s="52"/>
    </row>
    <row r="995" spans="1:35" ht="12">
      <c r="A995" s="150"/>
      <c r="B995" s="40"/>
      <c r="C995" s="40"/>
      <c r="D995" s="40"/>
      <c r="E995" s="19"/>
      <c r="F995" s="123"/>
      <c r="G995" s="90" t="s">
        <v>853</v>
      </c>
      <c r="H995" s="407"/>
      <c r="I995" s="407"/>
      <c r="J995" s="407"/>
      <c r="K995" s="407"/>
      <c r="L995" s="407">
        <f>+H993+J994</f>
        <v>598771</v>
      </c>
      <c r="M995" s="53"/>
      <c r="N995" s="53"/>
      <c r="O995" s="53"/>
      <c r="P995" s="53"/>
      <c r="Q995" s="53"/>
      <c r="R995" s="543">
        <f>+M993</f>
        <v>11161.12</v>
      </c>
      <c r="S995" s="52"/>
      <c r="T995" s="52"/>
      <c r="V995" s="52">
        <f t="shared" si="127"/>
        <v>0</v>
      </c>
      <c r="AI995" s="52"/>
    </row>
    <row r="996" spans="1:35" ht="12">
      <c r="A996" s="88"/>
      <c r="B996" s="88"/>
      <c r="C996" s="88"/>
      <c r="D996" s="88"/>
      <c r="E996" s="82"/>
      <c r="F996" s="153"/>
      <c r="G996" s="93"/>
      <c r="H996" s="399"/>
      <c r="I996" s="399"/>
      <c r="J996" s="399"/>
      <c r="K996" s="399"/>
      <c r="L996" s="399"/>
      <c r="M996" s="86"/>
      <c r="N996" s="86"/>
      <c r="O996" s="86"/>
      <c r="P996" s="86"/>
      <c r="Q996" s="86"/>
      <c r="R996" s="435"/>
      <c r="S996" s="52"/>
      <c r="T996" s="52"/>
      <c r="V996" s="52">
        <f t="shared" si="127"/>
        <v>0</v>
      </c>
      <c r="AI996" s="52"/>
    </row>
    <row r="997" spans="1:35" ht="12">
      <c r="A997" s="131"/>
      <c r="B997" s="131"/>
      <c r="C997" s="535" t="s">
        <v>349</v>
      </c>
      <c r="D997" s="159"/>
      <c r="E997" s="134"/>
      <c r="F997" s="160"/>
      <c r="G997" s="5" t="s">
        <v>906</v>
      </c>
      <c r="H997" s="417"/>
      <c r="I997" s="430"/>
      <c r="J997" s="430"/>
      <c r="K997" s="430"/>
      <c r="L997" s="430"/>
      <c r="M997" s="86"/>
      <c r="N997" s="86"/>
      <c r="O997" s="86"/>
      <c r="P997" s="86"/>
      <c r="Q997" s="86"/>
      <c r="R997" s="435"/>
      <c r="S997" s="52"/>
      <c r="T997" s="52"/>
      <c r="V997" s="52">
        <f t="shared" si="127"/>
        <v>0</v>
      </c>
      <c r="AI997" s="52"/>
    </row>
    <row r="998" spans="1:35" ht="12">
      <c r="A998" s="80"/>
      <c r="B998" s="80"/>
      <c r="C998" s="80"/>
      <c r="D998" s="89">
        <v>130</v>
      </c>
      <c r="E998" s="83"/>
      <c r="F998" s="142"/>
      <c r="G998" s="82" t="s">
        <v>775</v>
      </c>
      <c r="H998" s="399"/>
      <c r="I998" s="420"/>
      <c r="J998" s="420"/>
      <c r="K998" s="420"/>
      <c r="L998" s="420"/>
      <c r="M998" s="86"/>
      <c r="N998" s="86"/>
      <c r="O998" s="86"/>
      <c r="P998" s="86"/>
      <c r="Q998" s="86"/>
      <c r="R998" s="435"/>
      <c r="S998" s="52"/>
      <c r="T998" s="52"/>
      <c r="V998" s="52">
        <f t="shared" si="127"/>
        <v>0</v>
      </c>
      <c r="AI998" s="52"/>
    </row>
    <row r="999" spans="1:35" ht="12">
      <c r="A999" s="80">
        <f>A986+1</f>
        <v>245</v>
      </c>
      <c r="B999" s="80"/>
      <c r="C999" s="80"/>
      <c r="D999" s="89"/>
      <c r="E999" s="85">
        <v>421</v>
      </c>
      <c r="F999" s="112"/>
      <c r="G999" s="83" t="s">
        <v>567</v>
      </c>
      <c r="H999" s="399">
        <v>20000</v>
      </c>
      <c r="I999" s="420"/>
      <c r="J999" s="420"/>
      <c r="K999" s="420"/>
      <c r="L999" s="386">
        <f aca="true" t="shared" si="129" ref="L999:L1004">+H999+I999+J999+K999</f>
        <v>20000</v>
      </c>
      <c r="M999" s="86">
        <v>0</v>
      </c>
      <c r="N999" s="86"/>
      <c r="O999" s="86"/>
      <c r="P999" s="86"/>
      <c r="Q999" s="86"/>
      <c r="R999" s="435">
        <f>+M999/H999*100</f>
        <v>0</v>
      </c>
      <c r="S999" s="52"/>
      <c r="T999" s="52"/>
      <c r="V999" s="52">
        <f t="shared" si="127"/>
        <v>20000</v>
      </c>
      <c r="AI999" s="52"/>
    </row>
    <row r="1000" spans="1:35" ht="12">
      <c r="A1000" s="80">
        <f>A999+1</f>
        <v>246</v>
      </c>
      <c r="B1000" s="80"/>
      <c r="C1000" s="80"/>
      <c r="D1000" s="89"/>
      <c r="E1000" s="85">
        <v>423</v>
      </c>
      <c r="F1000" s="112"/>
      <c r="G1000" s="83" t="s">
        <v>539</v>
      </c>
      <c r="H1000" s="399">
        <v>64000</v>
      </c>
      <c r="I1000" s="420"/>
      <c r="J1000" s="420"/>
      <c r="K1000" s="420"/>
      <c r="L1000" s="386">
        <f t="shared" si="129"/>
        <v>64000</v>
      </c>
      <c r="M1000" s="86">
        <v>37237</v>
      </c>
      <c r="N1000" s="86"/>
      <c r="O1000" s="86"/>
      <c r="P1000" s="86"/>
      <c r="Q1000" s="86"/>
      <c r="R1000" s="435">
        <f aca="true" t="shared" si="130" ref="R1000:R1005">+M1000/H1000*100</f>
        <v>58.182812500000004</v>
      </c>
      <c r="S1000" s="52"/>
      <c r="T1000" s="52"/>
      <c r="V1000" s="52">
        <f t="shared" si="127"/>
        <v>26763</v>
      </c>
      <c r="AI1000" s="52"/>
    </row>
    <row r="1001" spans="1:35" ht="12">
      <c r="A1001" s="80">
        <f>+A1000+1</f>
        <v>247</v>
      </c>
      <c r="B1001" s="80"/>
      <c r="C1001" s="80"/>
      <c r="D1001" s="89"/>
      <c r="E1001" s="85">
        <v>424</v>
      </c>
      <c r="F1001" s="112"/>
      <c r="G1001" s="83" t="s">
        <v>554</v>
      </c>
      <c r="H1001" s="399">
        <v>15000</v>
      </c>
      <c r="I1001" s="420"/>
      <c r="J1001" s="420"/>
      <c r="K1001" s="420"/>
      <c r="L1001" s="386">
        <f t="shared" si="129"/>
        <v>15000</v>
      </c>
      <c r="M1001" s="86">
        <v>0</v>
      </c>
      <c r="N1001" s="86"/>
      <c r="O1001" s="86"/>
      <c r="P1001" s="86"/>
      <c r="Q1001" s="86"/>
      <c r="R1001" s="435">
        <f t="shared" si="130"/>
        <v>0</v>
      </c>
      <c r="S1001" s="52"/>
      <c r="T1001" s="52"/>
      <c r="V1001" s="52">
        <f t="shared" si="127"/>
        <v>15000</v>
      </c>
      <c r="AI1001" s="52"/>
    </row>
    <row r="1002" spans="1:35" ht="12">
      <c r="A1002" s="80">
        <f>+A1001+1</f>
        <v>248</v>
      </c>
      <c r="B1002" s="80"/>
      <c r="C1002" s="80"/>
      <c r="D1002" s="89"/>
      <c r="E1002" s="85">
        <v>425</v>
      </c>
      <c r="F1002" s="112"/>
      <c r="G1002" s="83" t="s">
        <v>540</v>
      </c>
      <c r="H1002" s="399">
        <v>150000</v>
      </c>
      <c r="I1002" s="420"/>
      <c r="J1002" s="420"/>
      <c r="K1002" s="420"/>
      <c r="L1002" s="386">
        <f t="shared" si="129"/>
        <v>150000</v>
      </c>
      <c r="M1002" s="86">
        <v>147360</v>
      </c>
      <c r="N1002" s="86"/>
      <c r="O1002" s="86"/>
      <c r="P1002" s="86"/>
      <c r="Q1002" s="86"/>
      <c r="R1002" s="435">
        <f t="shared" si="130"/>
        <v>98.24000000000001</v>
      </c>
      <c r="S1002" s="52"/>
      <c r="T1002" s="52"/>
      <c r="V1002" s="52">
        <f t="shared" si="127"/>
        <v>2640</v>
      </c>
      <c r="AI1002" s="52"/>
    </row>
    <row r="1003" spans="1:35" ht="12">
      <c r="A1003" s="80">
        <f>+A1002+1</f>
        <v>249</v>
      </c>
      <c r="B1003" s="80"/>
      <c r="C1003" s="80"/>
      <c r="D1003" s="89"/>
      <c r="E1003" s="85">
        <v>426</v>
      </c>
      <c r="F1003" s="112"/>
      <c r="G1003" s="83" t="s">
        <v>530</v>
      </c>
      <c r="H1003" s="399">
        <v>20000</v>
      </c>
      <c r="I1003" s="420"/>
      <c r="J1003" s="420"/>
      <c r="K1003" s="420"/>
      <c r="L1003" s="386">
        <f t="shared" si="129"/>
        <v>20000</v>
      </c>
      <c r="M1003" s="86">
        <v>6400</v>
      </c>
      <c r="N1003" s="86"/>
      <c r="O1003" s="86"/>
      <c r="P1003" s="86"/>
      <c r="Q1003" s="86"/>
      <c r="R1003" s="435">
        <f t="shared" si="130"/>
        <v>32</v>
      </c>
      <c r="S1003" s="52"/>
      <c r="T1003" s="52"/>
      <c r="V1003" s="52">
        <f t="shared" si="127"/>
        <v>13600</v>
      </c>
      <c r="AI1003" s="52"/>
    </row>
    <row r="1004" spans="1:35" ht="12">
      <c r="A1004" s="80">
        <f>+A1003+1</f>
        <v>250</v>
      </c>
      <c r="B1004" s="80"/>
      <c r="C1004" s="80"/>
      <c r="D1004" s="89"/>
      <c r="E1004" s="85">
        <v>511</v>
      </c>
      <c r="F1004" s="112"/>
      <c r="G1004" s="83" t="s">
        <v>534</v>
      </c>
      <c r="H1004" s="399">
        <v>150000</v>
      </c>
      <c r="I1004" s="420"/>
      <c r="J1004" s="420"/>
      <c r="K1004" s="420"/>
      <c r="L1004" s="386">
        <f t="shared" si="129"/>
        <v>150000</v>
      </c>
      <c r="M1004" s="86">
        <v>0</v>
      </c>
      <c r="N1004" s="86"/>
      <c r="O1004" s="86"/>
      <c r="P1004" s="86"/>
      <c r="Q1004" s="86"/>
      <c r="R1004" s="435">
        <f t="shared" si="130"/>
        <v>0</v>
      </c>
      <c r="S1004" s="52"/>
      <c r="T1004" s="52"/>
      <c r="V1004" s="52">
        <f t="shared" si="127"/>
        <v>150000</v>
      </c>
      <c r="AI1004" s="52"/>
    </row>
    <row r="1005" spans="1:35" ht="12">
      <c r="A1005" s="12"/>
      <c r="B1005" s="12"/>
      <c r="C1005" s="12"/>
      <c r="D1005" s="12"/>
      <c r="E1005" s="3"/>
      <c r="F1005" s="103"/>
      <c r="G1005" s="48" t="s">
        <v>852</v>
      </c>
      <c r="H1005" s="91">
        <f aca="true" t="shared" si="131" ref="H1005:M1005">SUM(H999:H1004)</f>
        <v>419000</v>
      </c>
      <c r="I1005" s="91">
        <f t="shared" si="131"/>
        <v>0</v>
      </c>
      <c r="J1005" s="91">
        <f t="shared" si="131"/>
        <v>0</v>
      </c>
      <c r="K1005" s="91">
        <f t="shared" si="131"/>
        <v>0</v>
      </c>
      <c r="L1005" s="91">
        <f t="shared" si="131"/>
        <v>419000</v>
      </c>
      <c r="M1005" s="508">
        <f t="shared" si="131"/>
        <v>190997</v>
      </c>
      <c r="N1005" s="508"/>
      <c r="O1005" s="130"/>
      <c r="P1005" s="130"/>
      <c r="Q1005" s="130">
        <f>SUM(Q999:Q1004)</f>
        <v>0</v>
      </c>
      <c r="R1005" s="435">
        <f t="shared" si="130"/>
        <v>45.58400954653938</v>
      </c>
      <c r="S1005" s="52"/>
      <c r="T1005" s="52"/>
      <c r="V1005" s="52">
        <f t="shared" si="127"/>
        <v>228003</v>
      </c>
      <c r="AB1005" s="52"/>
      <c r="AI1005" s="52"/>
    </row>
    <row r="1006" spans="1:35" ht="12">
      <c r="A1006" s="148"/>
      <c r="B1006" s="13"/>
      <c r="C1006" s="13"/>
      <c r="D1006" s="13"/>
      <c r="E1006" s="15"/>
      <c r="F1006" s="105"/>
      <c r="G1006" s="39" t="s">
        <v>691</v>
      </c>
      <c r="H1006" s="415"/>
      <c r="I1006" s="415"/>
      <c r="J1006" s="415"/>
      <c r="K1006" s="415"/>
      <c r="L1006" s="415"/>
      <c r="M1006" s="61"/>
      <c r="N1006" s="61"/>
      <c r="O1006" s="61"/>
      <c r="P1006" s="61"/>
      <c r="Q1006" s="61"/>
      <c r="R1006" s="438"/>
      <c r="S1006" s="52"/>
      <c r="T1006" s="52"/>
      <c r="V1006" s="52">
        <f t="shared" si="127"/>
        <v>0</v>
      </c>
      <c r="AI1006" s="52"/>
    </row>
    <row r="1007" spans="1:35" ht="12">
      <c r="A1007" s="149"/>
      <c r="B1007" s="2"/>
      <c r="C1007" s="2"/>
      <c r="D1007" s="2"/>
      <c r="E1007" s="5"/>
      <c r="F1007" s="151" t="s">
        <v>73</v>
      </c>
      <c r="G1007" s="20" t="s">
        <v>674</v>
      </c>
      <c r="H1007" s="10">
        <f>+H1005</f>
        <v>419000</v>
      </c>
      <c r="I1007" s="10"/>
      <c r="J1007" s="10"/>
      <c r="K1007" s="10"/>
      <c r="L1007" s="10"/>
      <c r="M1007" s="62">
        <f>+M1005</f>
        <v>190997</v>
      </c>
      <c r="N1007" s="62"/>
      <c r="O1007" s="62"/>
      <c r="P1007" s="62"/>
      <c r="Q1007" s="62"/>
      <c r="R1007" s="439"/>
      <c r="S1007" s="52"/>
      <c r="T1007" s="52"/>
      <c r="V1007" s="52">
        <f t="shared" si="127"/>
        <v>228003</v>
      </c>
      <c r="AC1007" s="52"/>
      <c r="AD1007" s="52"/>
      <c r="AI1007" s="52"/>
    </row>
    <row r="1008" spans="1:35" ht="12">
      <c r="A1008" s="149"/>
      <c r="B1008" s="2"/>
      <c r="C1008" s="2"/>
      <c r="D1008" s="2"/>
      <c r="E1008" s="5"/>
      <c r="F1008" s="151"/>
      <c r="G1008" s="1" t="s">
        <v>692</v>
      </c>
      <c r="H1008" s="10"/>
      <c r="I1008" s="10"/>
      <c r="J1008" s="10"/>
      <c r="K1008" s="10"/>
      <c r="L1008" s="10">
        <f>+J1007+I1007+H1007</f>
        <v>419000</v>
      </c>
      <c r="M1008" s="62"/>
      <c r="N1008" s="62"/>
      <c r="O1008" s="62"/>
      <c r="P1008" s="62"/>
      <c r="Q1008" s="62"/>
      <c r="R1008" s="439"/>
      <c r="S1008" s="52"/>
      <c r="T1008" s="52"/>
      <c r="V1008" s="52">
        <f t="shared" si="127"/>
        <v>0</v>
      </c>
      <c r="AI1008" s="52"/>
    </row>
    <row r="1009" spans="1:35" ht="12">
      <c r="A1009" s="149"/>
      <c r="B1009" s="2"/>
      <c r="C1009" s="2"/>
      <c r="D1009" s="2"/>
      <c r="E1009" s="5"/>
      <c r="F1009" s="151"/>
      <c r="G1009" s="1" t="s">
        <v>879</v>
      </c>
      <c r="H1009" s="10"/>
      <c r="I1009" s="10"/>
      <c r="J1009" s="10"/>
      <c r="K1009" s="10"/>
      <c r="L1009" s="10"/>
      <c r="M1009" s="62"/>
      <c r="N1009" s="62"/>
      <c r="O1009" s="62"/>
      <c r="P1009" s="62"/>
      <c r="Q1009" s="62"/>
      <c r="R1009" s="439"/>
      <c r="S1009" s="52"/>
      <c r="T1009" s="52"/>
      <c r="V1009" s="52">
        <f t="shared" si="127"/>
        <v>0</v>
      </c>
      <c r="AI1009" s="52"/>
    </row>
    <row r="1010" spans="1:35" ht="12">
      <c r="A1010" s="149"/>
      <c r="B1010" s="2"/>
      <c r="C1010" s="2"/>
      <c r="D1010" s="2"/>
      <c r="E1010" s="5"/>
      <c r="F1010" s="151" t="s">
        <v>73</v>
      </c>
      <c r="G1010" s="20" t="s">
        <v>674</v>
      </c>
      <c r="H1010" s="10">
        <f>+H1007</f>
        <v>419000</v>
      </c>
      <c r="I1010" s="10"/>
      <c r="J1010" s="10"/>
      <c r="K1010" s="10"/>
      <c r="L1010" s="10"/>
      <c r="M1010" s="62">
        <f>+M1007</f>
        <v>190997</v>
      </c>
      <c r="N1010" s="62"/>
      <c r="O1010" s="62"/>
      <c r="P1010" s="62"/>
      <c r="Q1010" s="62"/>
      <c r="R1010" s="439"/>
      <c r="S1010" s="52"/>
      <c r="T1010" s="52"/>
      <c r="V1010" s="52">
        <f t="shared" si="127"/>
        <v>228003</v>
      </c>
      <c r="AI1010" s="52"/>
    </row>
    <row r="1011" spans="1:35" ht="12">
      <c r="A1011" s="150"/>
      <c r="B1011" s="40"/>
      <c r="C1011" s="40"/>
      <c r="D1011" s="40"/>
      <c r="E1011" s="19"/>
      <c r="F1011" s="123"/>
      <c r="G1011" s="90" t="s">
        <v>854</v>
      </c>
      <c r="H1011" s="407"/>
      <c r="I1011" s="407"/>
      <c r="J1011" s="407"/>
      <c r="K1011" s="407"/>
      <c r="L1011" s="407">
        <f>+J1010+I1010+H1010</f>
        <v>419000</v>
      </c>
      <c r="M1011" s="53"/>
      <c r="N1011" s="53"/>
      <c r="O1011" s="53"/>
      <c r="P1011" s="53"/>
      <c r="Q1011" s="53"/>
      <c r="R1011" s="543">
        <f>+M1010</f>
        <v>190997</v>
      </c>
      <c r="S1011" s="52"/>
      <c r="T1011" s="52"/>
      <c r="V1011" s="52">
        <f t="shared" si="127"/>
        <v>0</v>
      </c>
      <c r="AI1011" s="52"/>
    </row>
    <row r="1012" spans="1:35" ht="12">
      <c r="A1012" s="26"/>
      <c r="B1012" s="26"/>
      <c r="C1012" s="26"/>
      <c r="D1012" s="12"/>
      <c r="E1012" s="37"/>
      <c r="F1012" s="124"/>
      <c r="G1012" s="37"/>
      <c r="H1012" s="4"/>
      <c r="I1012" s="4"/>
      <c r="J1012" s="4"/>
      <c r="K1012" s="4"/>
      <c r="L1012" s="4"/>
      <c r="M1012" s="52"/>
      <c r="N1012" s="52"/>
      <c r="O1012" s="52"/>
      <c r="P1012" s="52"/>
      <c r="Q1012" s="52"/>
      <c r="S1012" s="52"/>
      <c r="T1012" s="52"/>
      <c r="V1012" s="52">
        <f t="shared" si="127"/>
        <v>0</v>
      </c>
      <c r="AI1012" s="52"/>
    </row>
    <row r="1013" spans="1:35" ht="12">
      <c r="A1013" s="88"/>
      <c r="B1013" s="88"/>
      <c r="C1013" s="88"/>
      <c r="D1013" s="88"/>
      <c r="E1013" s="82"/>
      <c r="F1013" s="153"/>
      <c r="G1013" s="93"/>
      <c r="H1013" s="399"/>
      <c r="I1013" s="399"/>
      <c r="J1013" s="399"/>
      <c r="K1013" s="399"/>
      <c r="L1013" s="399"/>
      <c r="M1013" s="86"/>
      <c r="N1013" s="86"/>
      <c r="O1013" s="86"/>
      <c r="P1013" s="86"/>
      <c r="Q1013" s="86"/>
      <c r="R1013" s="435"/>
      <c r="S1013" s="52"/>
      <c r="T1013" s="52"/>
      <c r="V1013" s="52">
        <f t="shared" si="127"/>
        <v>0</v>
      </c>
      <c r="AI1013" s="52"/>
    </row>
    <row r="1014" spans="1:35" ht="12">
      <c r="A1014" s="131"/>
      <c r="B1014" s="131"/>
      <c r="C1014" s="535" t="s">
        <v>350</v>
      </c>
      <c r="D1014" s="159"/>
      <c r="E1014" s="134"/>
      <c r="F1014" s="160"/>
      <c r="G1014" s="5" t="s">
        <v>916</v>
      </c>
      <c r="H1014" s="417"/>
      <c r="I1014" s="430"/>
      <c r="J1014" s="430"/>
      <c r="K1014" s="430"/>
      <c r="L1014" s="430"/>
      <c r="M1014" s="86"/>
      <c r="N1014" s="86"/>
      <c r="O1014" s="86"/>
      <c r="P1014" s="86"/>
      <c r="Q1014" s="86"/>
      <c r="R1014" s="435"/>
      <c r="S1014" s="52"/>
      <c r="T1014" s="52"/>
      <c r="V1014" s="52">
        <f t="shared" si="127"/>
        <v>0</v>
      </c>
      <c r="AI1014" s="52"/>
    </row>
    <row r="1015" spans="1:35" ht="12">
      <c r="A1015" s="80"/>
      <c r="B1015" s="80"/>
      <c r="C1015" s="80"/>
      <c r="D1015" s="89">
        <v>130</v>
      </c>
      <c r="E1015" s="83"/>
      <c r="F1015" s="142"/>
      <c r="G1015" s="82" t="s">
        <v>775</v>
      </c>
      <c r="H1015" s="399"/>
      <c r="I1015" s="420"/>
      <c r="J1015" s="420"/>
      <c r="K1015" s="420"/>
      <c r="L1015" s="420"/>
      <c r="M1015" s="86"/>
      <c r="N1015" s="86"/>
      <c r="O1015" s="86"/>
      <c r="P1015" s="86"/>
      <c r="Q1015" s="86"/>
      <c r="R1015" s="435"/>
      <c r="S1015" s="52"/>
      <c r="T1015" s="52"/>
      <c r="V1015" s="52">
        <f t="shared" si="127"/>
        <v>0</v>
      </c>
      <c r="AI1015" s="52"/>
    </row>
    <row r="1016" spans="1:35" ht="12">
      <c r="A1016" s="80">
        <f>A1004+1</f>
        <v>251</v>
      </c>
      <c r="B1016" s="80"/>
      <c r="C1016" s="80"/>
      <c r="D1016" s="89"/>
      <c r="E1016" s="85">
        <v>421</v>
      </c>
      <c r="F1016" s="112"/>
      <c r="G1016" s="83" t="s">
        <v>567</v>
      </c>
      <c r="H1016" s="399">
        <v>154000</v>
      </c>
      <c r="I1016" s="420"/>
      <c r="J1016" s="420"/>
      <c r="K1016" s="420"/>
      <c r="L1016" s="386">
        <f>+H1016+I1016+J1016+K1016</f>
        <v>154000</v>
      </c>
      <c r="M1016" s="86">
        <f>-433.6+1433.6</f>
        <v>999.9999999999999</v>
      </c>
      <c r="N1016" s="86"/>
      <c r="O1016" s="86"/>
      <c r="P1016" s="86"/>
      <c r="Q1016" s="86"/>
      <c r="R1016" s="435">
        <f aca="true" t="shared" si="132" ref="R1016:R1021">+M1016/H1016*100</f>
        <v>0.6493506493506493</v>
      </c>
      <c r="S1016" s="52"/>
      <c r="T1016" s="52"/>
      <c r="V1016" s="52">
        <f t="shared" si="127"/>
        <v>153000</v>
      </c>
      <c r="AI1016" s="52"/>
    </row>
    <row r="1017" spans="1:35" ht="12">
      <c r="A1017" s="80">
        <f>A1016+1</f>
        <v>252</v>
      </c>
      <c r="B1017" s="80"/>
      <c r="C1017" s="80"/>
      <c r="D1017" s="89"/>
      <c r="E1017" s="85">
        <v>423</v>
      </c>
      <c r="F1017" s="112"/>
      <c r="G1017" s="83" t="s">
        <v>539</v>
      </c>
      <c r="H1017" s="399">
        <v>38000</v>
      </c>
      <c r="I1017" s="420"/>
      <c r="J1017" s="420"/>
      <c r="K1017" s="420"/>
      <c r="L1017" s="386">
        <f>+H1017+I1017+J1017+K1017</f>
        <v>38000</v>
      </c>
      <c r="M1017" s="86">
        <v>38000</v>
      </c>
      <c r="N1017" s="86"/>
      <c r="O1017" s="86"/>
      <c r="P1017" s="86"/>
      <c r="Q1017" s="86"/>
      <c r="R1017" s="435">
        <f t="shared" si="132"/>
        <v>100</v>
      </c>
      <c r="S1017" s="52"/>
      <c r="T1017" s="52"/>
      <c r="V1017" s="52">
        <f t="shared" si="127"/>
        <v>0</v>
      </c>
      <c r="AI1017" s="52"/>
    </row>
    <row r="1018" spans="1:35" ht="12">
      <c r="A1018" s="80">
        <f>A1017+1</f>
        <v>253</v>
      </c>
      <c r="B1018" s="80"/>
      <c r="C1018" s="80"/>
      <c r="D1018" s="89"/>
      <c r="E1018" s="85">
        <v>425</v>
      </c>
      <c r="F1018" s="112"/>
      <c r="G1018" s="83" t="s">
        <v>540</v>
      </c>
      <c r="H1018" s="399">
        <f>56000+69000</f>
        <v>125000</v>
      </c>
      <c r="I1018" s="420"/>
      <c r="J1018" s="420"/>
      <c r="K1018" s="420"/>
      <c r="L1018" s="386">
        <f>+H1018+I1018+J1018+K1018</f>
        <v>125000</v>
      </c>
      <c r="M1018" s="86">
        <v>99880.8</v>
      </c>
      <c r="N1018" s="86"/>
      <c r="O1018" s="86"/>
      <c r="P1018" s="86"/>
      <c r="Q1018" s="86"/>
      <c r="R1018" s="435">
        <f t="shared" si="132"/>
        <v>79.90464</v>
      </c>
      <c r="S1018" s="52"/>
      <c r="T1018" s="52"/>
      <c r="V1018" s="52">
        <f t="shared" si="127"/>
        <v>25119.199999999997</v>
      </c>
      <c r="AI1018" s="52"/>
    </row>
    <row r="1019" spans="1:35" ht="12">
      <c r="A1019" s="80">
        <f>A1018+1</f>
        <v>254</v>
      </c>
      <c r="B1019" s="80"/>
      <c r="C1019" s="80"/>
      <c r="D1019" s="89"/>
      <c r="E1019" s="85">
        <v>426</v>
      </c>
      <c r="F1019" s="112"/>
      <c r="G1019" s="83" t="s">
        <v>530</v>
      </c>
      <c r="H1019" s="399">
        <v>2000</v>
      </c>
      <c r="I1019" s="420"/>
      <c r="J1019" s="420"/>
      <c r="K1019" s="420"/>
      <c r="L1019" s="386">
        <f>+H1019+I1019+J1019+K1019</f>
        <v>2000</v>
      </c>
      <c r="M1019" s="86">
        <v>0</v>
      </c>
      <c r="N1019" s="86"/>
      <c r="O1019" s="86"/>
      <c r="P1019" s="86"/>
      <c r="Q1019" s="86"/>
      <c r="R1019" s="435">
        <f t="shared" si="132"/>
        <v>0</v>
      </c>
      <c r="S1019" s="52"/>
      <c r="T1019" s="52"/>
      <c r="V1019" s="52">
        <f t="shared" si="127"/>
        <v>2000</v>
      </c>
      <c r="AI1019" s="52"/>
    </row>
    <row r="1020" spans="1:35" ht="12">
      <c r="A1020" s="80">
        <f>+A1019+1</f>
        <v>255</v>
      </c>
      <c r="B1020" s="80"/>
      <c r="C1020" s="80"/>
      <c r="D1020" s="89"/>
      <c r="E1020" s="85">
        <v>511</v>
      </c>
      <c r="F1020" s="112"/>
      <c r="G1020" s="83" t="s">
        <v>534</v>
      </c>
      <c r="H1020" s="399">
        <v>100000</v>
      </c>
      <c r="I1020" s="420"/>
      <c r="J1020" s="420"/>
      <c r="K1020" s="420"/>
      <c r="L1020" s="386">
        <f>+H1020+I1020+J1020+K1020</f>
        <v>100000</v>
      </c>
      <c r="M1020" s="86">
        <v>0</v>
      </c>
      <c r="N1020" s="86"/>
      <c r="O1020" s="86"/>
      <c r="P1020" s="86"/>
      <c r="Q1020" s="86"/>
      <c r="R1020" s="435">
        <f t="shared" si="132"/>
        <v>0</v>
      </c>
      <c r="S1020" s="52"/>
      <c r="T1020" s="52"/>
      <c r="V1020" s="52">
        <f t="shared" si="127"/>
        <v>100000</v>
      </c>
      <c r="AI1020" s="52"/>
    </row>
    <row r="1021" spans="1:35" ht="12">
      <c r="A1021" s="12"/>
      <c r="B1021" s="12"/>
      <c r="C1021" s="12"/>
      <c r="D1021" s="12"/>
      <c r="E1021" s="3"/>
      <c r="F1021" s="103"/>
      <c r="G1021" s="48" t="s">
        <v>855</v>
      </c>
      <c r="H1021" s="91">
        <f aca="true" t="shared" si="133" ref="H1021:M1021">SUM(H1016:H1020)</f>
        <v>419000</v>
      </c>
      <c r="I1021" s="399">
        <f t="shared" si="133"/>
        <v>0</v>
      </c>
      <c r="J1021" s="399">
        <f t="shared" si="133"/>
        <v>0</v>
      </c>
      <c r="K1021" s="399">
        <f t="shared" si="133"/>
        <v>0</v>
      </c>
      <c r="L1021" s="91">
        <f t="shared" si="133"/>
        <v>419000</v>
      </c>
      <c r="M1021" s="508">
        <f t="shared" si="133"/>
        <v>138880.8</v>
      </c>
      <c r="N1021" s="508"/>
      <c r="O1021" s="130"/>
      <c r="P1021" s="130"/>
      <c r="Q1021" s="130">
        <f>SUM(Q1016:Q1020)</f>
        <v>0</v>
      </c>
      <c r="R1021" s="435">
        <f t="shared" si="132"/>
        <v>33.14577565632458</v>
      </c>
      <c r="S1021" s="52"/>
      <c r="T1021" s="52"/>
      <c r="V1021" s="52">
        <f t="shared" si="127"/>
        <v>280119.2</v>
      </c>
      <c r="AB1021" s="52"/>
      <c r="AI1021" s="52"/>
    </row>
    <row r="1022" spans="1:35" ht="12">
      <c r="A1022" s="148"/>
      <c r="B1022" s="13"/>
      <c r="C1022" s="13"/>
      <c r="D1022" s="13"/>
      <c r="E1022" s="15"/>
      <c r="F1022" s="105"/>
      <c r="G1022" s="39" t="s">
        <v>691</v>
      </c>
      <c r="H1022" s="415"/>
      <c r="I1022" s="415"/>
      <c r="J1022" s="415"/>
      <c r="K1022" s="415"/>
      <c r="L1022" s="415"/>
      <c r="M1022" s="61"/>
      <c r="N1022" s="61"/>
      <c r="O1022" s="61"/>
      <c r="P1022" s="61"/>
      <c r="Q1022" s="61"/>
      <c r="R1022" s="438"/>
      <c r="S1022" s="52"/>
      <c r="T1022" s="52"/>
      <c r="V1022" s="52">
        <f t="shared" si="127"/>
        <v>0</v>
      </c>
      <c r="AI1022" s="52"/>
    </row>
    <row r="1023" spans="1:35" ht="12">
      <c r="A1023" s="149"/>
      <c r="B1023" s="2"/>
      <c r="C1023" s="2"/>
      <c r="D1023" s="2"/>
      <c r="E1023" s="5"/>
      <c r="F1023" s="151" t="s">
        <v>73</v>
      </c>
      <c r="G1023" s="20" t="s">
        <v>674</v>
      </c>
      <c r="H1023" s="10">
        <f>+H1021</f>
        <v>419000</v>
      </c>
      <c r="I1023" s="10"/>
      <c r="J1023" s="10"/>
      <c r="K1023" s="10"/>
      <c r="L1023" s="10"/>
      <c r="M1023" s="62">
        <f>+M1021</f>
        <v>138880.8</v>
      </c>
      <c r="N1023" s="62"/>
      <c r="O1023" s="62"/>
      <c r="P1023" s="62"/>
      <c r="Q1023" s="62"/>
      <c r="R1023" s="439"/>
      <c r="S1023" s="52"/>
      <c r="T1023" s="52"/>
      <c r="V1023" s="52">
        <f t="shared" si="127"/>
        <v>280119.2</v>
      </c>
      <c r="AC1023" s="52"/>
      <c r="AD1023" s="52"/>
      <c r="AI1023" s="52"/>
    </row>
    <row r="1024" spans="1:35" ht="12">
      <c r="A1024" s="149"/>
      <c r="B1024" s="2"/>
      <c r="C1024" s="2"/>
      <c r="D1024" s="2"/>
      <c r="E1024" s="5"/>
      <c r="F1024" s="151"/>
      <c r="G1024" s="1" t="s">
        <v>692</v>
      </c>
      <c r="H1024" s="10"/>
      <c r="I1024" s="10"/>
      <c r="J1024" s="10"/>
      <c r="K1024" s="10"/>
      <c r="L1024" s="10">
        <f>+H1023</f>
        <v>419000</v>
      </c>
      <c r="M1024" s="62"/>
      <c r="N1024" s="62"/>
      <c r="O1024" s="62"/>
      <c r="P1024" s="62"/>
      <c r="Q1024" s="62"/>
      <c r="R1024" s="439"/>
      <c r="S1024" s="52"/>
      <c r="T1024" s="52"/>
      <c r="V1024" s="52">
        <f t="shared" si="127"/>
        <v>0</v>
      </c>
      <c r="AI1024" s="52"/>
    </row>
    <row r="1025" spans="1:35" ht="12">
      <c r="A1025" s="149"/>
      <c r="B1025" s="2"/>
      <c r="C1025" s="2"/>
      <c r="D1025" s="2"/>
      <c r="E1025" s="5"/>
      <c r="F1025" s="151"/>
      <c r="G1025" s="1" t="s">
        <v>880</v>
      </c>
      <c r="H1025" s="10"/>
      <c r="I1025" s="10"/>
      <c r="J1025" s="10"/>
      <c r="K1025" s="10"/>
      <c r="L1025" s="10"/>
      <c r="M1025" s="62"/>
      <c r="N1025" s="62"/>
      <c r="O1025" s="62"/>
      <c r="P1025" s="62"/>
      <c r="Q1025" s="62"/>
      <c r="R1025" s="439"/>
      <c r="S1025" s="52"/>
      <c r="T1025" s="52"/>
      <c r="V1025" s="52">
        <f t="shared" si="127"/>
        <v>0</v>
      </c>
      <c r="AI1025" s="52"/>
    </row>
    <row r="1026" spans="1:35" ht="12">
      <c r="A1026" s="149"/>
      <c r="B1026" s="2"/>
      <c r="C1026" s="2"/>
      <c r="D1026" s="2"/>
      <c r="E1026" s="5"/>
      <c r="F1026" s="151" t="s">
        <v>73</v>
      </c>
      <c r="G1026" s="20" t="s">
        <v>674</v>
      </c>
      <c r="H1026" s="10">
        <f>+H1023</f>
        <v>419000</v>
      </c>
      <c r="I1026" s="10"/>
      <c r="J1026" s="10"/>
      <c r="K1026" s="10"/>
      <c r="L1026" s="10"/>
      <c r="M1026" s="62">
        <f>+M1023</f>
        <v>138880.8</v>
      </c>
      <c r="N1026" s="62"/>
      <c r="O1026" s="62"/>
      <c r="P1026" s="62"/>
      <c r="Q1026" s="62"/>
      <c r="R1026" s="439"/>
      <c r="S1026" s="52"/>
      <c r="T1026" s="52"/>
      <c r="V1026" s="52">
        <f t="shared" si="127"/>
        <v>280119.2</v>
      </c>
      <c r="AI1026" s="52"/>
    </row>
    <row r="1027" spans="1:35" ht="12">
      <c r="A1027" s="150"/>
      <c r="B1027" s="40"/>
      <c r="C1027" s="40"/>
      <c r="D1027" s="40"/>
      <c r="E1027" s="19"/>
      <c r="F1027" s="123"/>
      <c r="G1027" s="90" t="s">
        <v>856</v>
      </c>
      <c r="H1027" s="407"/>
      <c r="I1027" s="407"/>
      <c r="J1027" s="407"/>
      <c r="K1027" s="407"/>
      <c r="L1027" s="407">
        <f>+H1026</f>
        <v>419000</v>
      </c>
      <c r="M1027" s="53"/>
      <c r="N1027" s="53"/>
      <c r="O1027" s="53"/>
      <c r="P1027" s="53"/>
      <c r="Q1027" s="53"/>
      <c r="R1027" s="543">
        <f>+M1026</f>
        <v>138880.8</v>
      </c>
      <c r="S1027" s="52"/>
      <c r="T1027" s="52"/>
      <c r="V1027" s="52">
        <f t="shared" si="127"/>
        <v>0</v>
      </c>
      <c r="AI1027" s="52"/>
    </row>
    <row r="1028" spans="1:35" ht="12">
      <c r="A1028" s="12"/>
      <c r="B1028" s="12"/>
      <c r="C1028" s="12"/>
      <c r="D1028" s="12"/>
      <c r="E1028" s="3"/>
      <c r="F1028" s="103"/>
      <c r="G1028" s="48" t="s">
        <v>857</v>
      </c>
      <c r="H1028" s="399">
        <f aca="true" t="shared" si="134" ref="H1028:N1028">+H829+H848+H869+H889+H907+H927+H946+H968+H987+H1005+H1021</f>
        <v>18570612.8</v>
      </c>
      <c r="I1028" s="399">
        <f t="shared" si="134"/>
        <v>0</v>
      </c>
      <c r="J1028" s="399">
        <f>+J829+J848+J869+J889+J907+J927+J946+J968+J987+J1005+J1021</f>
        <v>7981116</v>
      </c>
      <c r="K1028" s="399">
        <f t="shared" si="134"/>
        <v>0</v>
      </c>
      <c r="L1028" s="399">
        <f t="shared" si="134"/>
        <v>26551728.8</v>
      </c>
      <c r="M1028" s="86">
        <f t="shared" si="134"/>
        <v>10663307.98</v>
      </c>
      <c r="N1028" s="86">
        <f t="shared" si="134"/>
        <v>0</v>
      </c>
      <c r="O1028" s="86">
        <f>+O829+O848+O869+O889+O907+O927+O946+O968+O987+O1005+O1021</f>
        <v>5935698.960000001</v>
      </c>
      <c r="P1028" s="86"/>
      <c r="Q1028" s="86">
        <f>+Q829+Q848+Q869+Q889+Q907+Q927+Q946+Q968+Q987+Q1005+Q1021</f>
        <v>3104333.35</v>
      </c>
      <c r="R1028" s="435">
        <f>+M1028/H1028*100</f>
        <v>57.42033445444514</v>
      </c>
      <c r="S1028" s="52"/>
      <c r="T1028" s="52"/>
      <c r="V1028" s="52">
        <f t="shared" si="127"/>
        <v>4802971.470000001</v>
      </c>
      <c r="AB1028" s="52"/>
      <c r="AI1028" s="52"/>
    </row>
    <row r="1029" spans="1:35" ht="12">
      <c r="A1029" s="148"/>
      <c r="B1029" s="13"/>
      <c r="C1029" s="13"/>
      <c r="D1029" s="13"/>
      <c r="E1029" s="15"/>
      <c r="F1029" s="105"/>
      <c r="G1029" s="39" t="s">
        <v>691</v>
      </c>
      <c r="H1029" s="415"/>
      <c r="I1029" s="415"/>
      <c r="J1029" s="415"/>
      <c r="K1029" s="10"/>
      <c r="L1029" s="10"/>
      <c r="M1029" s="61"/>
      <c r="N1029" s="61"/>
      <c r="O1029" s="61"/>
      <c r="P1029" s="61"/>
      <c r="Q1029" s="61"/>
      <c r="R1029" s="438"/>
      <c r="S1029" s="52"/>
      <c r="T1029" s="52"/>
      <c r="V1029" s="52">
        <f t="shared" si="127"/>
        <v>0</v>
      </c>
      <c r="AI1029" s="52"/>
    </row>
    <row r="1030" spans="1:35" ht="12">
      <c r="A1030" s="149"/>
      <c r="B1030" s="2"/>
      <c r="C1030" s="2"/>
      <c r="D1030" s="2"/>
      <c r="E1030" s="5"/>
      <c r="F1030" s="151" t="s">
        <v>73</v>
      </c>
      <c r="G1030" s="20" t="s">
        <v>674</v>
      </c>
      <c r="H1030" s="10">
        <f>+H831+H850+H871+H891+H909+H929+H948+H970+H989+H1007+H1023</f>
        <v>18570612.8</v>
      </c>
      <c r="I1030" s="10"/>
      <c r="J1030" s="10"/>
      <c r="K1030" s="10"/>
      <c r="L1030" s="71"/>
      <c r="M1030" s="62">
        <f>+M831+M850+M871+M891+M909+M929+M948+M970+M989+M1007+M1023</f>
        <v>10663307.98</v>
      </c>
      <c r="N1030" s="62"/>
      <c r="O1030" s="62"/>
      <c r="P1030" s="62"/>
      <c r="Q1030" s="62"/>
      <c r="R1030" s="439"/>
      <c r="S1030" s="52"/>
      <c r="T1030" s="52"/>
      <c r="V1030" s="52">
        <f t="shared" si="127"/>
        <v>7907304.82</v>
      </c>
      <c r="AC1030" s="52"/>
      <c r="AD1030" s="52"/>
      <c r="AI1030" s="52"/>
    </row>
    <row r="1031" spans="1:35" ht="12">
      <c r="A1031" s="149"/>
      <c r="B1031" s="2"/>
      <c r="C1031" s="2"/>
      <c r="D1031" s="2"/>
      <c r="E1031" s="5"/>
      <c r="F1031" s="151"/>
      <c r="G1031" s="20" t="s">
        <v>909</v>
      </c>
      <c r="H1031" s="10">
        <f>+H832+H872+H892+H910+H949+H971</f>
        <v>7340000</v>
      </c>
      <c r="I1031" s="10"/>
      <c r="J1031" s="10"/>
      <c r="K1031" s="10"/>
      <c r="L1031" s="10"/>
      <c r="M1031" s="62"/>
      <c r="N1031" s="62"/>
      <c r="O1031" s="62"/>
      <c r="P1031" s="62"/>
      <c r="Q1031" s="62"/>
      <c r="R1031" s="439"/>
      <c r="S1031" s="52"/>
      <c r="T1031" s="52"/>
      <c r="V1031" s="52">
        <f t="shared" si="127"/>
        <v>7340000</v>
      </c>
      <c r="AI1031" s="52"/>
    </row>
    <row r="1032" spans="1:35" ht="12">
      <c r="A1032" s="149"/>
      <c r="B1032" s="2"/>
      <c r="C1032" s="2"/>
      <c r="D1032" s="2"/>
      <c r="E1032" s="5"/>
      <c r="F1032" s="151" t="s">
        <v>268</v>
      </c>
      <c r="G1032" s="20" t="s">
        <v>903</v>
      </c>
      <c r="H1032" s="10"/>
      <c r="I1032" s="10"/>
      <c r="J1032" s="10">
        <f>+J972+J950</f>
        <v>2010517</v>
      </c>
      <c r="K1032" s="10"/>
      <c r="L1032" s="10"/>
      <c r="M1032" s="62"/>
      <c r="N1032" s="62"/>
      <c r="O1032" s="62">
        <f>+O972+O950</f>
        <v>2010517</v>
      </c>
      <c r="P1032" s="62"/>
      <c r="Q1032" s="62"/>
      <c r="R1032" s="439"/>
      <c r="S1032" s="52"/>
      <c r="T1032" s="52"/>
      <c r="V1032" s="52">
        <f t="shared" si="127"/>
        <v>0</v>
      </c>
      <c r="AI1032" s="52"/>
    </row>
    <row r="1033" spans="1:35" ht="12">
      <c r="A1033" s="149"/>
      <c r="B1033" s="2"/>
      <c r="C1033" s="2"/>
      <c r="D1033" s="2"/>
      <c r="E1033" s="5"/>
      <c r="F1033" s="151" t="s">
        <v>413</v>
      </c>
      <c r="G1033" s="20" t="s">
        <v>767</v>
      </c>
      <c r="H1033" s="10"/>
      <c r="I1033" s="10"/>
      <c r="J1033" s="10">
        <f>+J990+J973+J951+J930+J911+J893+J873+J851+J833</f>
        <v>5970599</v>
      </c>
      <c r="K1033" s="10"/>
      <c r="L1033" s="10"/>
      <c r="M1033" s="62"/>
      <c r="N1033" s="62"/>
      <c r="O1033" s="62">
        <f>+O990+O973+O951+O930+O911+O893+O873+O851+O833</f>
        <v>3925181.96</v>
      </c>
      <c r="P1033" s="62"/>
      <c r="Q1033" s="62"/>
      <c r="R1033" s="439"/>
      <c r="S1033" s="52"/>
      <c r="T1033" s="52"/>
      <c r="V1033" s="52">
        <f t="shared" si="127"/>
        <v>0</v>
      </c>
      <c r="AI1033" s="52"/>
    </row>
    <row r="1034" spans="1:35" ht="12">
      <c r="A1034" s="149"/>
      <c r="B1034" s="2"/>
      <c r="C1034" s="2"/>
      <c r="D1034" s="2"/>
      <c r="E1034" s="5"/>
      <c r="F1034" s="151"/>
      <c r="G1034" s="1" t="s">
        <v>692</v>
      </c>
      <c r="H1034" s="10"/>
      <c r="I1034" s="10"/>
      <c r="J1034" s="10"/>
      <c r="K1034" s="10"/>
      <c r="L1034" s="10">
        <f>+H1030+J1032+J1033</f>
        <v>26551728.8</v>
      </c>
      <c r="M1034" s="62"/>
      <c r="N1034" s="62"/>
      <c r="O1034" s="62"/>
      <c r="P1034" s="62"/>
      <c r="Q1034" s="62"/>
      <c r="R1034" s="439"/>
      <c r="S1034" s="52"/>
      <c r="T1034" s="52"/>
      <c r="V1034" s="52">
        <f t="shared" si="127"/>
        <v>0</v>
      </c>
      <c r="AI1034" s="52"/>
    </row>
    <row r="1035" spans="1:35" ht="12">
      <c r="A1035" s="149"/>
      <c r="B1035" s="2"/>
      <c r="C1035" s="2"/>
      <c r="D1035" s="2"/>
      <c r="E1035" s="5"/>
      <c r="F1035" s="151"/>
      <c r="G1035" s="1" t="s">
        <v>267</v>
      </c>
      <c r="H1035" s="10"/>
      <c r="I1035" s="10"/>
      <c r="J1035" s="10"/>
      <c r="K1035" s="10"/>
      <c r="L1035" s="10"/>
      <c r="M1035" s="62"/>
      <c r="N1035" s="62"/>
      <c r="O1035" s="62"/>
      <c r="P1035" s="62"/>
      <c r="Q1035" s="62"/>
      <c r="R1035" s="439"/>
      <c r="S1035" s="52"/>
      <c r="T1035" s="52"/>
      <c r="V1035" s="52">
        <f t="shared" si="127"/>
        <v>0</v>
      </c>
      <c r="AI1035" s="52"/>
    </row>
    <row r="1036" spans="1:35" ht="12">
      <c r="A1036" s="149"/>
      <c r="B1036" s="2"/>
      <c r="C1036" s="2"/>
      <c r="D1036" s="2"/>
      <c r="E1036" s="5"/>
      <c r="F1036" s="151" t="s">
        <v>73</v>
      </c>
      <c r="G1036" s="20" t="s">
        <v>674</v>
      </c>
      <c r="H1036" s="10">
        <f>+H836+H854+H876+H896+H914+H933+H954+H976+H993+H1010+H1026</f>
        <v>18570612.8</v>
      </c>
      <c r="I1036" s="10"/>
      <c r="J1036" s="10"/>
      <c r="K1036" s="10"/>
      <c r="L1036" s="10"/>
      <c r="M1036" s="62">
        <f>+M836+M854+M876+M896+M914+M933+M954+M976+M993+M1010+M1026</f>
        <v>10663307.98</v>
      </c>
      <c r="N1036" s="62"/>
      <c r="O1036" s="62"/>
      <c r="P1036" s="62"/>
      <c r="Q1036" s="62"/>
      <c r="R1036" s="439"/>
      <c r="S1036" s="52"/>
      <c r="T1036" s="52"/>
      <c r="V1036" s="52">
        <f t="shared" si="127"/>
        <v>7907304.82</v>
      </c>
      <c r="AI1036" s="52"/>
    </row>
    <row r="1037" spans="1:35" ht="12">
      <c r="A1037" s="149"/>
      <c r="B1037" s="2"/>
      <c r="C1037" s="2"/>
      <c r="D1037" s="2"/>
      <c r="E1037" s="5"/>
      <c r="F1037" s="151" t="s">
        <v>268</v>
      </c>
      <c r="G1037" s="20" t="s">
        <v>903</v>
      </c>
      <c r="H1037" s="10"/>
      <c r="I1037" s="10"/>
      <c r="J1037" s="10">
        <f>+J1032</f>
        <v>2010517</v>
      </c>
      <c r="K1037" s="10"/>
      <c r="L1037" s="10"/>
      <c r="M1037" s="62"/>
      <c r="N1037" s="62"/>
      <c r="O1037" s="62">
        <f>+O1032</f>
        <v>2010517</v>
      </c>
      <c r="P1037" s="62"/>
      <c r="Q1037" s="62"/>
      <c r="R1037" s="439"/>
      <c r="S1037" s="52"/>
      <c r="T1037" s="52"/>
      <c r="V1037" s="52">
        <f t="shared" si="127"/>
        <v>0</v>
      </c>
      <c r="AI1037" s="52"/>
    </row>
    <row r="1038" spans="1:35" ht="12">
      <c r="A1038" s="149"/>
      <c r="B1038" s="2"/>
      <c r="C1038" s="2"/>
      <c r="D1038" s="2"/>
      <c r="E1038" s="5"/>
      <c r="F1038" s="151" t="s">
        <v>413</v>
      </c>
      <c r="G1038" s="20" t="s">
        <v>767</v>
      </c>
      <c r="H1038" s="10"/>
      <c r="I1038" s="10"/>
      <c r="J1038" s="10">
        <f>+J1033</f>
        <v>5970599</v>
      </c>
      <c r="K1038" s="10"/>
      <c r="L1038" s="10"/>
      <c r="M1038" s="62"/>
      <c r="N1038" s="62"/>
      <c r="O1038" s="62">
        <f>+O1033</f>
        <v>3925181.96</v>
      </c>
      <c r="P1038" s="62"/>
      <c r="Q1038" s="62"/>
      <c r="R1038" s="439"/>
      <c r="S1038" s="52"/>
      <c r="T1038" s="52"/>
      <c r="V1038" s="52">
        <f t="shared" si="127"/>
        <v>0</v>
      </c>
      <c r="AI1038" s="52"/>
    </row>
    <row r="1039" spans="1:35" ht="12">
      <c r="A1039" s="149"/>
      <c r="B1039" s="2"/>
      <c r="C1039" s="2"/>
      <c r="D1039" s="2"/>
      <c r="E1039" s="5"/>
      <c r="F1039" s="104"/>
      <c r="G1039" s="1" t="s">
        <v>858</v>
      </c>
      <c r="H1039" s="10"/>
      <c r="I1039" s="10"/>
      <c r="J1039" s="10"/>
      <c r="K1039" s="10"/>
      <c r="L1039" s="62">
        <f>+H1036+J1037+J1038</f>
        <v>26551728.8</v>
      </c>
      <c r="M1039" s="62"/>
      <c r="N1039" s="62"/>
      <c r="O1039" s="62"/>
      <c r="P1039" s="62"/>
      <c r="Q1039" s="62"/>
      <c r="R1039" s="439"/>
      <c r="S1039" s="52"/>
      <c r="T1039" s="52"/>
      <c r="V1039" s="52">
        <f t="shared" si="127"/>
        <v>0</v>
      </c>
      <c r="AI1039" s="52"/>
    </row>
    <row r="1040" spans="1:35" ht="12">
      <c r="A1040" s="145"/>
      <c r="B1040" s="68"/>
      <c r="C1040" s="68"/>
      <c r="D1040" s="68"/>
      <c r="E1040" s="68"/>
      <c r="F1040" s="119"/>
      <c r="G1040" s="68"/>
      <c r="H1040" s="53"/>
      <c r="I1040" s="53"/>
      <c r="J1040" s="53"/>
      <c r="K1040" s="53"/>
      <c r="L1040" s="68"/>
      <c r="M1040" s="53"/>
      <c r="N1040" s="53"/>
      <c r="O1040" s="53"/>
      <c r="P1040" s="53"/>
      <c r="Q1040" s="53"/>
      <c r="R1040" s="440"/>
      <c r="S1040" s="52"/>
      <c r="T1040" s="52"/>
      <c r="V1040" s="52">
        <f t="shared" si="127"/>
        <v>0</v>
      </c>
      <c r="AB1040" s="52"/>
      <c r="AC1040" s="52"/>
      <c r="AI1040" s="52"/>
    </row>
    <row r="1041" spans="1:35" ht="12">
      <c r="A1041" s="161"/>
      <c r="B1041" s="26"/>
      <c r="C1041" s="26"/>
      <c r="D1041" s="26"/>
      <c r="E1041" s="29"/>
      <c r="F1041" s="113"/>
      <c r="G1041" s="48" t="s">
        <v>803</v>
      </c>
      <c r="H1041" s="399">
        <f>+H220+H289+H366+H402+H417+H428+H440+H453+H478+H504+H515+H537+H583+H613+H645+H676+H705+H737+H782+H1028+H493+H464</f>
        <v>767926858.0699999</v>
      </c>
      <c r="I1041" s="399">
        <f>+I220+I289+I366+I402+I417+I428+I440+I453+I478+I504+I515+I537+I583+I613+I645+I676+I705+I737+I782+I1028+I493</f>
        <v>62287000</v>
      </c>
      <c r="J1041" s="399">
        <f>+J220+J289+J366+J402+J417+J428+J440+J453+J478+J504+J515+J537+J583+J613+J645+J676+J705+J737+J782+J1028+J493+J464</f>
        <v>86599476.46000001</v>
      </c>
      <c r="K1041" s="399">
        <f>+K220+K289+K366+K402+K417+K428+K440+K453+K478+K504+K515+K537+K583+K613+K645+K676+K705+K737+K782+K1028+K493</f>
        <v>72634661</v>
      </c>
      <c r="L1041" s="399">
        <f>+L220+L289+L366+L402+L417+L428+L440+L453+L478+L504+L515+L537+L583+L613+L645+L676+L705+L737+L782+L1028+L493+L464</f>
        <v>989434433.53</v>
      </c>
      <c r="M1041" s="393">
        <f>+M220+M289+M366+M402+M417+M428+M440+M453+M478+M504+M515+M537+M583+M613+M645+M676+M705+M737+M782+M1028+M493</f>
        <v>616379913.59</v>
      </c>
      <c r="N1041" s="393">
        <f>+N220+N289+N366+N402+N417+N428+N440+N453+N478+N504+N515+N537+N583+N613+N645+N676+N705+N737+N782+N1028+N493</f>
        <v>39067437.71000001</v>
      </c>
      <c r="O1041" s="393">
        <f>+O220+O289+O366+O402+O417+O428+O440+O453+O478+O504+O515+O537+O583+O613+O645+O676+O705+O737+O782+O1028+O493</f>
        <v>40554451.82</v>
      </c>
      <c r="P1041" s="393">
        <f>+P220+P289+P366+P402+P417+P428+P440+P453+P478+P504+P515+P537+P583+P613+P645+P676+P705+P737+P782+P1028+P493</f>
        <v>29301266.91</v>
      </c>
      <c r="Q1041" s="393">
        <f>+Q220+Q289+Q366+Q402+Q417+Q428+Q440+Q453+Q478+Q504+Q515+Q537+Q583+Q613+Q645+Q676+Q705+Q737+Q782+Q1028+Q493</f>
        <v>62186200.09</v>
      </c>
      <c r="R1041" s="443">
        <f>+M1041/H1041*100</f>
        <v>80.26544547994105</v>
      </c>
      <c r="S1041" s="52"/>
      <c r="T1041" s="52"/>
      <c r="V1041" s="52">
        <f t="shared" si="127"/>
        <v>89360744.38999987</v>
      </c>
      <c r="Y1041" s="52"/>
      <c r="AB1041" s="52"/>
      <c r="AI1041" s="52"/>
    </row>
    <row r="1042" spans="1:35" ht="12">
      <c r="A1042" s="136"/>
      <c r="B1042" s="24"/>
      <c r="C1042" s="24"/>
      <c r="D1042" s="24"/>
      <c r="E1042" s="38"/>
      <c r="F1042" s="114"/>
      <c r="G1042" s="51"/>
      <c r="H1042" s="415"/>
      <c r="I1042" s="415"/>
      <c r="J1042" s="415"/>
      <c r="K1042" s="415"/>
      <c r="L1042" s="415"/>
      <c r="M1042" s="61"/>
      <c r="N1042" s="61"/>
      <c r="O1042" s="61"/>
      <c r="P1042" s="61"/>
      <c r="Q1042" s="61"/>
      <c r="R1042" s="438"/>
      <c r="S1042" s="52"/>
      <c r="T1042" s="52"/>
      <c r="V1042" s="52">
        <f t="shared" si="127"/>
        <v>0</v>
      </c>
      <c r="X1042" s="52"/>
      <c r="AB1042" s="52"/>
      <c r="AI1042" s="52"/>
    </row>
    <row r="1043" spans="1:35" ht="12">
      <c r="A1043" s="141"/>
      <c r="B1043" s="33"/>
      <c r="C1043" s="33"/>
      <c r="D1043" s="33"/>
      <c r="E1043" s="20"/>
      <c r="F1043" s="1" t="s">
        <v>917</v>
      </c>
      <c r="G1043" s="71"/>
      <c r="H1043" s="10"/>
      <c r="I1043" s="10"/>
      <c r="J1043" s="10"/>
      <c r="K1043" s="10"/>
      <c r="L1043" s="10"/>
      <c r="M1043" s="62"/>
      <c r="N1043" s="62"/>
      <c r="O1043" s="62"/>
      <c r="P1043" s="62"/>
      <c r="Q1043" s="62"/>
      <c r="R1043" s="439"/>
      <c r="S1043" s="52"/>
      <c r="T1043" s="52"/>
      <c r="V1043" s="52">
        <f t="shared" si="127"/>
        <v>0</v>
      </c>
      <c r="Z1043" s="52"/>
      <c r="AA1043" s="52"/>
      <c r="AC1043" s="52"/>
      <c r="AD1043" s="52"/>
      <c r="AI1043" s="52"/>
    </row>
    <row r="1044" spans="1:35" ht="12">
      <c r="A1044" s="141"/>
      <c r="B1044" s="33"/>
      <c r="C1044" s="33"/>
      <c r="D1044" s="33"/>
      <c r="E1044" s="20"/>
      <c r="F1044" s="17" t="s">
        <v>73</v>
      </c>
      <c r="G1044" s="20" t="s">
        <v>674</v>
      </c>
      <c r="H1044" s="10">
        <f>+H292</f>
        <v>0</v>
      </c>
      <c r="I1044" s="10"/>
      <c r="J1044" s="10"/>
      <c r="K1044" s="10"/>
      <c r="L1044" s="10"/>
      <c r="M1044" s="62">
        <f>+M292</f>
        <v>0</v>
      </c>
      <c r="N1044" s="62"/>
      <c r="O1044" s="62"/>
      <c r="P1044" s="62"/>
      <c r="Q1044" s="62"/>
      <c r="R1044" s="439"/>
      <c r="S1044" s="52"/>
      <c r="T1044" s="52"/>
      <c r="V1044" s="52">
        <f t="shared" si="127"/>
        <v>0</v>
      </c>
      <c r="AI1044" s="52"/>
    </row>
    <row r="1045" spans="1:35" ht="12">
      <c r="A1045" s="141"/>
      <c r="B1045" s="33"/>
      <c r="C1045" s="33"/>
      <c r="D1045" s="33"/>
      <c r="E1045" s="20"/>
      <c r="F1045" s="1" t="s">
        <v>918</v>
      </c>
      <c r="G1045" s="71"/>
      <c r="H1045" s="10"/>
      <c r="I1045" s="10"/>
      <c r="J1045" s="10"/>
      <c r="K1045" s="10"/>
      <c r="L1045" s="10"/>
      <c r="M1045" s="62"/>
      <c r="N1045" s="62"/>
      <c r="O1045" s="62"/>
      <c r="P1045" s="62"/>
      <c r="Q1045" s="62"/>
      <c r="R1045" s="439"/>
      <c r="S1045" s="52"/>
      <c r="T1045" s="52"/>
      <c r="V1045" s="52">
        <f t="shared" si="127"/>
        <v>0</v>
      </c>
      <c r="AI1045" s="52"/>
    </row>
    <row r="1046" spans="1:35" ht="12">
      <c r="A1046" s="141"/>
      <c r="B1046" s="33"/>
      <c r="C1046" s="33"/>
      <c r="D1046" s="33"/>
      <c r="E1046" s="20"/>
      <c r="F1046" s="17" t="s">
        <v>73</v>
      </c>
      <c r="G1046" s="20" t="s">
        <v>674</v>
      </c>
      <c r="H1046" s="10">
        <f>+H295</f>
        <v>19025477</v>
      </c>
      <c r="I1046" s="10"/>
      <c r="J1046" s="10"/>
      <c r="K1046" s="10"/>
      <c r="L1046" s="10"/>
      <c r="M1046" s="62">
        <f>+M295</f>
        <v>14832772.89</v>
      </c>
      <c r="N1046" s="62"/>
      <c r="O1046" s="62"/>
      <c r="P1046" s="62"/>
      <c r="Q1046" s="62"/>
      <c r="R1046" s="439"/>
      <c r="S1046" s="52"/>
      <c r="T1046" s="52"/>
      <c r="V1046" s="52">
        <f t="shared" si="127"/>
        <v>4192704.1099999994</v>
      </c>
      <c r="AI1046" s="52"/>
    </row>
    <row r="1047" spans="1:35" ht="12">
      <c r="A1047" s="141"/>
      <c r="B1047" s="33"/>
      <c r="C1047" s="33"/>
      <c r="D1047" s="33"/>
      <c r="E1047" s="20"/>
      <c r="F1047" s="1" t="s">
        <v>919</v>
      </c>
      <c r="G1047" s="20"/>
      <c r="H1047" s="10"/>
      <c r="I1047" s="10"/>
      <c r="J1047" s="10"/>
      <c r="K1047" s="10"/>
      <c r="L1047" s="10"/>
      <c r="M1047" s="62"/>
      <c r="N1047" s="62"/>
      <c r="O1047" s="62"/>
      <c r="P1047" s="62"/>
      <c r="Q1047" s="62"/>
      <c r="R1047" s="439"/>
      <c r="S1047" s="52"/>
      <c r="T1047" s="52"/>
      <c r="V1047" s="52">
        <f t="shared" si="127"/>
        <v>0</v>
      </c>
      <c r="AI1047" s="52"/>
    </row>
    <row r="1048" spans="1:35" ht="12">
      <c r="A1048" s="141"/>
      <c r="B1048" s="33"/>
      <c r="C1048" s="33"/>
      <c r="D1048" s="33"/>
      <c r="E1048" s="20"/>
      <c r="F1048" s="17" t="s">
        <v>73</v>
      </c>
      <c r="G1048" s="20" t="s">
        <v>674</v>
      </c>
      <c r="H1048" s="10">
        <f>+H495</f>
        <v>1500000</v>
      </c>
      <c r="I1048" s="10"/>
      <c r="J1048" s="10"/>
      <c r="K1048" s="10"/>
      <c r="L1048" s="10"/>
      <c r="M1048" s="62">
        <f>+M495</f>
        <v>0</v>
      </c>
      <c r="N1048" s="62"/>
      <c r="O1048" s="62"/>
      <c r="P1048" s="62"/>
      <c r="Q1048" s="62"/>
      <c r="R1048" s="439"/>
      <c r="S1048" s="52"/>
      <c r="T1048" s="52"/>
      <c r="V1048" s="52">
        <f t="shared" si="127"/>
        <v>1500000</v>
      </c>
      <c r="AI1048" s="52"/>
    </row>
    <row r="1049" spans="1:35" ht="12">
      <c r="A1049" s="141"/>
      <c r="B1049" s="33"/>
      <c r="C1049" s="33"/>
      <c r="D1049" s="33"/>
      <c r="E1049" s="20"/>
      <c r="F1049" s="1" t="s">
        <v>920</v>
      </c>
      <c r="G1049" s="71"/>
      <c r="H1049" s="10"/>
      <c r="I1049" s="10"/>
      <c r="J1049" s="10"/>
      <c r="K1049" s="10"/>
      <c r="L1049" s="10"/>
      <c r="M1049" s="62"/>
      <c r="N1049" s="62"/>
      <c r="O1049" s="62"/>
      <c r="P1049" s="62"/>
      <c r="Q1049" s="62"/>
      <c r="R1049" s="439"/>
      <c r="S1049" s="52"/>
      <c r="T1049" s="52"/>
      <c r="V1049" s="52">
        <f aca="true" t="shared" si="135" ref="V1049:V1112">+H1049-(M1049+Q1049)</f>
        <v>0</v>
      </c>
      <c r="AI1049" s="52"/>
    </row>
    <row r="1050" spans="1:35" ht="12">
      <c r="A1050" s="141"/>
      <c r="B1050" s="33"/>
      <c r="C1050" s="33"/>
      <c r="D1050" s="33"/>
      <c r="E1050" s="20"/>
      <c r="F1050" s="151" t="s">
        <v>73</v>
      </c>
      <c r="G1050" s="20" t="s">
        <v>674</v>
      </c>
      <c r="H1050" s="10">
        <f>+H539</f>
        <v>9508000</v>
      </c>
      <c r="I1050" s="10"/>
      <c r="J1050" s="10"/>
      <c r="K1050" s="10"/>
      <c r="L1050" s="10"/>
      <c r="M1050" s="62">
        <f>+M539</f>
        <v>7203806.5</v>
      </c>
      <c r="N1050" s="62"/>
      <c r="O1050" s="62"/>
      <c r="P1050" s="62"/>
      <c r="Q1050" s="62"/>
      <c r="R1050" s="439"/>
      <c r="S1050" s="52"/>
      <c r="T1050" s="52"/>
      <c r="V1050" s="52">
        <f t="shared" si="135"/>
        <v>2304193.5</v>
      </c>
      <c r="AI1050" s="52"/>
    </row>
    <row r="1051" spans="1:35" ht="12">
      <c r="A1051" s="141"/>
      <c r="B1051" s="33"/>
      <c r="C1051" s="33"/>
      <c r="D1051" s="33"/>
      <c r="E1051" s="20"/>
      <c r="F1051" s="1" t="s">
        <v>935</v>
      </c>
      <c r="G1051" s="71"/>
      <c r="H1051" s="10"/>
      <c r="I1051" s="10"/>
      <c r="J1051" s="10"/>
      <c r="K1051" s="10"/>
      <c r="L1051" s="10"/>
      <c r="M1051" s="62"/>
      <c r="N1051" s="62"/>
      <c r="O1051" s="62"/>
      <c r="P1051" s="62"/>
      <c r="Q1051" s="62"/>
      <c r="R1051" s="439"/>
      <c r="S1051" s="52"/>
      <c r="T1051" s="52"/>
      <c r="V1051" s="52">
        <f t="shared" si="135"/>
        <v>0</v>
      </c>
      <c r="AI1051" s="52"/>
    </row>
    <row r="1052" spans="1:35" ht="12">
      <c r="A1052" s="141"/>
      <c r="B1052" s="33"/>
      <c r="C1052" s="33"/>
      <c r="D1052" s="33"/>
      <c r="E1052" s="20"/>
      <c r="F1052" s="151" t="s">
        <v>73</v>
      </c>
      <c r="G1052" s="20" t="s">
        <v>674</v>
      </c>
      <c r="H1052" s="10">
        <f>+H542</f>
        <v>6308000</v>
      </c>
      <c r="I1052" s="10"/>
      <c r="J1052" s="10"/>
      <c r="K1052" s="10"/>
      <c r="L1052" s="10"/>
      <c r="M1052" s="62">
        <f>+M542</f>
        <v>3251672.57</v>
      </c>
      <c r="N1052" s="62"/>
      <c r="O1052" s="62"/>
      <c r="P1052" s="62"/>
      <c r="Q1052" s="62"/>
      <c r="R1052" s="439"/>
      <c r="S1052" s="52"/>
      <c r="T1052" s="52"/>
      <c r="V1052" s="52">
        <f t="shared" si="135"/>
        <v>3056327.43</v>
      </c>
      <c r="AI1052" s="52"/>
    </row>
    <row r="1053" spans="1:35" ht="12">
      <c r="A1053" s="141"/>
      <c r="B1053" s="33"/>
      <c r="C1053" s="33"/>
      <c r="D1053" s="33"/>
      <c r="E1053" s="20"/>
      <c r="F1053" s="151" t="s">
        <v>268</v>
      </c>
      <c r="G1053" s="20" t="s">
        <v>681</v>
      </c>
      <c r="H1053" s="10"/>
      <c r="I1053" s="10"/>
      <c r="J1053" s="10">
        <f>+J543</f>
        <v>39806086</v>
      </c>
      <c r="K1053" s="10"/>
      <c r="L1053" s="10"/>
      <c r="M1053" s="62"/>
      <c r="N1053" s="62"/>
      <c r="O1053" s="62">
        <f>+O543</f>
        <v>7109079.02</v>
      </c>
      <c r="P1053" s="62"/>
      <c r="Q1053" s="62"/>
      <c r="R1053" s="439"/>
      <c r="S1053" s="52"/>
      <c r="T1053" s="52"/>
      <c r="V1053" s="52">
        <f t="shared" si="135"/>
        <v>0</v>
      </c>
      <c r="AI1053" s="52"/>
    </row>
    <row r="1054" spans="1:35" ht="12">
      <c r="A1054" s="141"/>
      <c r="B1054" s="33"/>
      <c r="C1054" s="33"/>
      <c r="D1054" s="33"/>
      <c r="E1054" s="20"/>
      <c r="F1054" s="151" t="s">
        <v>361</v>
      </c>
      <c r="G1054" s="20" t="s">
        <v>672</v>
      </c>
      <c r="H1054" s="10"/>
      <c r="I1054" s="10"/>
      <c r="J1054" s="10">
        <f>J549</f>
        <v>17300</v>
      </c>
      <c r="K1054" s="10"/>
      <c r="L1054" s="10"/>
      <c r="M1054" s="62"/>
      <c r="N1054" s="62"/>
      <c r="O1054" s="62">
        <f>O549</f>
        <v>17300</v>
      </c>
      <c r="P1054" s="62"/>
      <c r="Q1054" s="62"/>
      <c r="R1054" s="439"/>
      <c r="S1054" s="52"/>
      <c r="T1054" s="52"/>
      <c r="V1054" s="52">
        <f t="shared" si="135"/>
        <v>0</v>
      </c>
      <c r="AI1054" s="52"/>
    </row>
    <row r="1055" spans="1:35" ht="12">
      <c r="A1055" s="141"/>
      <c r="B1055" s="33"/>
      <c r="C1055" s="33"/>
      <c r="D1055" s="33"/>
      <c r="E1055" s="20"/>
      <c r="F1055" s="1" t="s">
        <v>936</v>
      </c>
      <c r="G1055" s="71"/>
      <c r="H1055" s="10"/>
      <c r="I1055" s="10"/>
      <c r="J1055" s="10"/>
      <c r="K1055" s="10"/>
      <c r="L1055" s="10"/>
      <c r="M1055" s="62"/>
      <c r="N1055" s="62"/>
      <c r="O1055" s="62"/>
      <c r="P1055" s="62"/>
      <c r="Q1055" s="62"/>
      <c r="R1055" s="439"/>
      <c r="S1055" s="52"/>
      <c r="T1055" s="52"/>
      <c r="V1055" s="52">
        <f t="shared" si="135"/>
        <v>0</v>
      </c>
      <c r="AI1055" s="52"/>
    </row>
    <row r="1056" spans="1:35" ht="12">
      <c r="A1056" s="141"/>
      <c r="B1056" s="33"/>
      <c r="C1056" s="33"/>
      <c r="D1056" s="33"/>
      <c r="E1056" s="20"/>
      <c r="F1056" s="17" t="s">
        <v>73</v>
      </c>
      <c r="G1056" s="20" t="s">
        <v>674</v>
      </c>
      <c r="H1056" s="10">
        <f>H110+H142</f>
        <v>45318000</v>
      </c>
      <c r="I1056" s="10"/>
      <c r="J1056" s="10"/>
      <c r="K1056" s="10"/>
      <c r="L1056" s="10"/>
      <c r="M1056" s="62">
        <f>M110+M142</f>
        <v>34525241.03</v>
      </c>
      <c r="N1056" s="62"/>
      <c r="O1056" s="62"/>
      <c r="P1056" s="62"/>
      <c r="Q1056" s="62"/>
      <c r="R1056" s="439"/>
      <c r="S1056" s="52"/>
      <c r="T1056" s="52"/>
      <c r="V1056" s="52">
        <f t="shared" si="135"/>
        <v>10792758.969999999</v>
      </c>
      <c r="AI1056" s="52"/>
    </row>
    <row r="1057" spans="1:35" ht="12">
      <c r="A1057" s="141"/>
      <c r="B1057" s="33"/>
      <c r="C1057" s="33"/>
      <c r="D1057" s="33"/>
      <c r="E1057" s="20"/>
      <c r="F1057" s="17" t="s">
        <v>268</v>
      </c>
      <c r="G1057" s="20" t="s">
        <v>676</v>
      </c>
      <c r="H1057" s="10"/>
      <c r="I1057" s="10"/>
      <c r="J1057" s="10">
        <f>+J111+J143</f>
        <v>200000</v>
      </c>
      <c r="K1057" s="10"/>
      <c r="L1057" s="10"/>
      <c r="M1057" s="62"/>
      <c r="N1057" s="62"/>
      <c r="O1057" s="62">
        <f>+O111+O143</f>
        <v>0</v>
      </c>
      <c r="P1057" s="62"/>
      <c r="Q1057" s="62"/>
      <c r="R1057" s="439"/>
      <c r="S1057" s="52"/>
      <c r="T1057" s="52"/>
      <c r="V1057" s="52">
        <f t="shared" si="135"/>
        <v>0</v>
      </c>
      <c r="AI1057" s="52"/>
    </row>
    <row r="1058" spans="1:35" ht="12">
      <c r="A1058" s="141"/>
      <c r="B1058" s="33"/>
      <c r="C1058" s="33"/>
      <c r="D1058" s="33"/>
      <c r="E1058" s="20"/>
      <c r="F1058" s="17" t="s">
        <v>413</v>
      </c>
      <c r="G1058" s="20" t="s">
        <v>767</v>
      </c>
      <c r="H1058" s="10"/>
      <c r="I1058" s="10"/>
      <c r="J1058" s="10">
        <f>+J112</f>
        <v>1500000</v>
      </c>
      <c r="K1058" s="10"/>
      <c r="L1058" s="10"/>
      <c r="M1058" s="62"/>
      <c r="N1058" s="62"/>
      <c r="O1058" s="62">
        <f>+O112</f>
        <v>1500000</v>
      </c>
      <c r="P1058" s="62"/>
      <c r="Q1058" s="62"/>
      <c r="R1058" s="439"/>
      <c r="S1058" s="52"/>
      <c r="T1058" s="52"/>
      <c r="V1058" s="52">
        <f t="shared" si="135"/>
        <v>0</v>
      </c>
      <c r="AI1058" s="52"/>
    </row>
    <row r="1059" spans="1:35" ht="12">
      <c r="A1059" s="141"/>
      <c r="B1059" s="33"/>
      <c r="C1059" s="33"/>
      <c r="D1059" s="33"/>
      <c r="E1059" s="20"/>
      <c r="F1059" s="1" t="s">
        <v>937</v>
      </c>
      <c r="G1059" s="71"/>
      <c r="H1059" s="10"/>
      <c r="I1059" s="10"/>
      <c r="J1059" s="10"/>
      <c r="K1059" s="10"/>
      <c r="L1059" s="10"/>
      <c r="M1059" s="62"/>
      <c r="N1059" s="62"/>
      <c r="O1059" s="62"/>
      <c r="P1059" s="62"/>
      <c r="Q1059" s="62"/>
      <c r="R1059" s="439"/>
      <c r="S1059" s="52"/>
      <c r="T1059" s="52"/>
      <c r="V1059" s="52">
        <f t="shared" si="135"/>
        <v>0</v>
      </c>
      <c r="AI1059" s="52"/>
    </row>
    <row r="1060" spans="1:35" ht="12">
      <c r="A1060" s="144"/>
      <c r="B1060" s="71"/>
      <c r="C1060" s="71"/>
      <c r="D1060" s="71"/>
      <c r="E1060" s="71"/>
      <c r="F1060" s="17" t="s">
        <v>73</v>
      </c>
      <c r="G1060" s="20" t="s">
        <v>674</v>
      </c>
      <c r="H1060" s="62">
        <f>+H222+H1030</f>
        <v>164579612.8</v>
      </c>
      <c r="I1060" s="71"/>
      <c r="J1060" s="390"/>
      <c r="K1060" s="390"/>
      <c r="L1060" s="71"/>
      <c r="M1060" s="62">
        <f>+M222+M1030</f>
        <v>140601109.63000003</v>
      </c>
      <c r="N1060" s="62"/>
      <c r="O1060" s="62"/>
      <c r="P1060" s="62"/>
      <c r="Q1060" s="62"/>
      <c r="R1060" s="439"/>
      <c r="S1060" s="52"/>
      <c r="T1060" s="52"/>
      <c r="V1060" s="52">
        <f t="shared" si="135"/>
        <v>23978503.169999987</v>
      </c>
      <c r="AI1060" s="52"/>
    </row>
    <row r="1061" spans="1:35" ht="12">
      <c r="A1061" s="144"/>
      <c r="B1061" s="71"/>
      <c r="C1061" s="71"/>
      <c r="D1061" s="71"/>
      <c r="E1061" s="71"/>
      <c r="F1061" s="17" t="s">
        <v>268</v>
      </c>
      <c r="G1061" s="20" t="s">
        <v>676</v>
      </c>
      <c r="H1061" s="62"/>
      <c r="I1061" s="71"/>
      <c r="J1061" s="62">
        <f>+J223+J1032</f>
        <v>5510517</v>
      </c>
      <c r="K1061" s="62"/>
      <c r="L1061" s="71"/>
      <c r="M1061" s="62"/>
      <c r="N1061" s="62"/>
      <c r="O1061" s="62">
        <f>+O223+O1032</f>
        <v>3932945.42</v>
      </c>
      <c r="P1061" s="62"/>
      <c r="Q1061" s="62"/>
      <c r="R1061" s="439"/>
      <c r="S1061" s="52"/>
      <c r="T1061" s="52"/>
      <c r="V1061" s="52">
        <f t="shared" si="135"/>
        <v>0</v>
      </c>
      <c r="AI1061" s="52"/>
    </row>
    <row r="1062" spans="1:35" ht="12">
      <c r="A1062" s="144"/>
      <c r="B1062" s="71"/>
      <c r="C1062" s="71"/>
      <c r="D1062" s="71"/>
      <c r="E1062" s="71"/>
      <c r="F1062" s="17" t="s">
        <v>413</v>
      </c>
      <c r="G1062" s="20" t="s">
        <v>767</v>
      </c>
      <c r="H1062" s="62"/>
      <c r="I1062" s="71"/>
      <c r="J1062" s="62">
        <f>+J224+J1033</f>
        <v>6970599</v>
      </c>
      <c r="K1062" s="62"/>
      <c r="L1062" s="71"/>
      <c r="M1062" s="62"/>
      <c r="N1062" s="62"/>
      <c r="O1062" s="62">
        <f>+O224+O1033</f>
        <v>4925181.96</v>
      </c>
      <c r="P1062" s="62"/>
      <c r="Q1062" s="62"/>
      <c r="R1062" s="439"/>
      <c r="S1062" s="52"/>
      <c r="T1062" s="52"/>
      <c r="V1062" s="52">
        <f t="shared" si="135"/>
        <v>0</v>
      </c>
      <c r="AI1062" s="52"/>
    </row>
    <row r="1063" spans="1:35" ht="12">
      <c r="A1063" s="144"/>
      <c r="B1063" s="71"/>
      <c r="C1063" s="71"/>
      <c r="D1063" s="71"/>
      <c r="E1063" s="71"/>
      <c r="F1063" s="17" t="s">
        <v>353</v>
      </c>
      <c r="G1063" s="20" t="s">
        <v>776</v>
      </c>
      <c r="H1063" s="62"/>
      <c r="I1063" s="71"/>
      <c r="J1063" s="62"/>
      <c r="K1063" s="62"/>
      <c r="L1063" s="71"/>
      <c r="M1063" s="62"/>
      <c r="N1063" s="62"/>
      <c r="O1063" s="62">
        <f>+O225</f>
        <v>68800</v>
      </c>
      <c r="P1063" s="62"/>
      <c r="Q1063" s="62"/>
      <c r="R1063" s="439"/>
      <c r="S1063" s="52"/>
      <c r="T1063" s="52"/>
      <c r="V1063" s="52">
        <f t="shared" si="135"/>
        <v>0</v>
      </c>
      <c r="AI1063" s="52"/>
    </row>
    <row r="1064" spans="1:35" ht="12">
      <c r="A1064" s="144"/>
      <c r="B1064" s="71"/>
      <c r="C1064" s="71"/>
      <c r="D1064" s="71"/>
      <c r="E1064" s="71"/>
      <c r="F1064" s="1" t="s">
        <v>938</v>
      </c>
      <c r="G1064" s="71"/>
      <c r="H1064" s="62"/>
      <c r="I1064" s="71"/>
      <c r="J1064" s="390"/>
      <c r="K1064" s="390"/>
      <c r="L1064" s="71"/>
      <c r="M1064" s="62"/>
      <c r="N1064" s="62"/>
      <c r="O1064" s="62"/>
      <c r="P1064" s="62"/>
      <c r="Q1064" s="62"/>
      <c r="R1064" s="439"/>
      <c r="S1064" s="52"/>
      <c r="T1064" s="52"/>
      <c r="V1064" s="52">
        <f t="shared" si="135"/>
        <v>0</v>
      </c>
      <c r="AI1064" s="52"/>
    </row>
    <row r="1065" spans="1:35" ht="12">
      <c r="A1065" s="144"/>
      <c r="B1065" s="71"/>
      <c r="C1065" s="71"/>
      <c r="D1065" s="71"/>
      <c r="E1065" s="71"/>
      <c r="F1065" s="17" t="s">
        <v>73</v>
      </c>
      <c r="G1065" s="20" t="s">
        <v>674</v>
      </c>
      <c r="H1065" s="62">
        <f>H161+H368+H404</f>
        <v>10794915.33</v>
      </c>
      <c r="I1065" s="71"/>
      <c r="J1065" s="390"/>
      <c r="K1065" s="390"/>
      <c r="L1065" s="71"/>
      <c r="M1065" s="62">
        <f>M161+M368+M404</f>
        <v>8962674.88</v>
      </c>
      <c r="N1065" s="62"/>
      <c r="O1065" s="62"/>
      <c r="P1065" s="62"/>
      <c r="Q1065" s="62"/>
      <c r="R1065" s="439"/>
      <c r="S1065" s="52"/>
      <c r="T1065" s="52"/>
      <c r="V1065" s="52">
        <f t="shared" si="135"/>
        <v>1832240.4499999993</v>
      </c>
      <c r="AI1065" s="52"/>
    </row>
    <row r="1066" spans="1:35" ht="12">
      <c r="A1066" s="144"/>
      <c r="B1066" s="71"/>
      <c r="C1066" s="71"/>
      <c r="D1066" s="71"/>
      <c r="E1066" s="71"/>
      <c r="F1066" s="17" t="s">
        <v>385</v>
      </c>
      <c r="G1066" s="20" t="s">
        <v>761</v>
      </c>
      <c r="H1066" s="62"/>
      <c r="I1066" s="71"/>
      <c r="J1066" s="62">
        <f>J369</f>
        <v>1673300.46</v>
      </c>
      <c r="K1066" s="62"/>
      <c r="L1066" s="71"/>
      <c r="M1066" s="62"/>
      <c r="N1066" s="62"/>
      <c r="O1066" s="62">
        <f>O369</f>
        <v>1658905</v>
      </c>
      <c r="P1066" s="62"/>
      <c r="Q1066" s="62"/>
      <c r="R1066" s="439"/>
      <c r="S1066" s="52"/>
      <c r="T1066" s="52"/>
      <c r="V1066" s="52">
        <f t="shared" si="135"/>
        <v>0</v>
      </c>
      <c r="AI1066" s="52"/>
    </row>
    <row r="1067" spans="1:35" ht="12">
      <c r="A1067" s="144"/>
      <c r="B1067" s="71"/>
      <c r="C1067" s="71"/>
      <c r="D1067" s="71"/>
      <c r="E1067" s="71"/>
      <c r="F1067" s="17" t="s">
        <v>413</v>
      </c>
      <c r="G1067" s="20" t="s">
        <v>767</v>
      </c>
      <c r="H1067" s="62"/>
      <c r="I1067" s="71"/>
      <c r="J1067" s="62">
        <f>+J370</f>
        <v>2850000</v>
      </c>
      <c r="K1067" s="62"/>
      <c r="L1067" s="71"/>
      <c r="M1067" s="62"/>
      <c r="N1067" s="62"/>
      <c r="O1067" s="62">
        <f>+O370</f>
        <v>2848798.42</v>
      </c>
      <c r="P1067" s="62"/>
      <c r="Q1067" s="62"/>
      <c r="R1067" s="439"/>
      <c r="S1067" s="52"/>
      <c r="T1067" s="52"/>
      <c r="V1067" s="52">
        <f t="shared" si="135"/>
        <v>0</v>
      </c>
      <c r="AI1067" s="52"/>
    </row>
    <row r="1068" spans="1:35" ht="12">
      <c r="A1068" s="144"/>
      <c r="B1068" s="71"/>
      <c r="C1068" s="71"/>
      <c r="D1068" s="71"/>
      <c r="E1068" s="71"/>
      <c r="F1068" s="1" t="s">
        <v>921</v>
      </c>
      <c r="G1068" s="71"/>
      <c r="H1068" s="62"/>
      <c r="I1068" s="71"/>
      <c r="J1068" s="390"/>
      <c r="K1068" s="390"/>
      <c r="L1068" s="71"/>
      <c r="M1068" s="62"/>
      <c r="N1068" s="62"/>
      <c r="O1068" s="62"/>
      <c r="P1068" s="62"/>
      <c r="Q1068" s="62"/>
      <c r="R1068" s="439"/>
      <c r="S1068" s="52"/>
      <c r="T1068" s="52"/>
      <c r="V1068" s="52">
        <f t="shared" si="135"/>
        <v>0</v>
      </c>
      <c r="AI1068" s="52"/>
    </row>
    <row r="1069" spans="1:35" ht="12">
      <c r="A1069" s="144"/>
      <c r="B1069" s="71"/>
      <c r="C1069" s="71"/>
      <c r="D1069" s="71"/>
      <c r="E1069" s="71"/>
      <c r="F1069" s="151" t="s">
        <v>73</v>
      </c>
      <c r="G1069" s="20" t="s">
        <v>674</v>
      </c>
      <c r="H1069" s="62">
        <f>+H442</f>
        <v>53150000</v>
      </c>
      <c r="I1069" s="71"/>
      <c r="J1069" s="390"/>
      <c r="K1069" s="390"/>
      <c r="L1069" s="71"/>
      <c r="M1069" s="62">
        <f>+M442</f>
        <v>45386547.88</v>
      </c>
      <c r="N1069" s="62"/>
      <c r="O1069" s="62"/>
      <c r="P1069" s="62"/>
      <c r="Q1069" s="62"/>
      <c r="R1069" s="439"/>
      <c r="S1069" s="52"/>
      <c r="T1069" s="52"/>
      <c r="V1069" s="52">
        <f t="shared" si="135"/>
        <v>7763452.119999997</v>
      </c>
      <c r="AI1069" s="52"/>
    </row>
    <row r="1070" spans="1:35" ht="12">
      <c r="A1070" s="144"/>
      <c r="B1070" s="71"/>
      <c r="C1070" s="71"/>
      <c r="D1070" s="71"/>
      <c r="E1070" s="71"/>
      <c r="F1070" s="17" t="s">
        <v>413</v>
      </c>
      <c r="G1070" s="20" t="s">
        <v>767</v>
      </c>
      <c r="H1070" s="62"/>
      <c r="I1070" s="71"/>
      <c r="J1070" s="390">
        <f>+J443</f>
        <v>4000000</v>
      </c>
      <c r="K1070" s="390"/>
      <c r="L1070" s="71"/>
      <c r="M1070" s="62"/>
      <c r="N1070" s="62"/>
      <c r="O1070" s="62">
        <f>+O443</f>
        <v>4000000</v>
      </c>
      <c r="P1070" s="62"/>
      <c r="Q1070" s="62"/>
      <c r="R1070" s="439"/>
      <c r="S1070" s="52"/>
      <c r="T1070" s="52"/>
      <c r="V1070" s="52">
        <f t="shared" si="135"/>
        <v>0</v>
      </c>
      <c r="AI1070" s="52"/>
    </row>
    <row r="1071" spans="1:35" ht="12">
      <c r="A1071" s="144"/>
      <c r="B1071" s="71"/>
      <c r="C1071" s="71"/>
      <c r="D1071" s="71"/>
      <c r="E1071" s="71"/>
      <c r="F1071" s="1" t="s">
        <v>922</v>
      </c>
      <c r="G1071" s="71"/>
      <c r="H1071" s="62"/>
      <c r="I1071" s="71"/>
      <c r="J1071" s="390"/>
      <c r="K1071" s="390"/>
      <c r="L1071" s="71"/>
      <c r="M1071" s="62"/>
      <c r="N1071" s="62"/>
      <c r="O1071" s="62"/>
      <c r="P1071" s="62"/>
      <c r="Q1071" s="62"/>
      <c r="R1071" s="439"/>
      <c r="S1071" s="52"/>
      <c r="T1071" s="52"/>
      <c r="V1071" s="52">
        <f t="shared" si="135"/>
        <v>0</v>
      </c>
      <c r="AI1071" s="52"/>
    </row>
    <row r="1072" spans="1:35" ht="12">
      <c r="A1072" s="144"/>
      <c r="B1072" s="71"/>
      <c r="C1072" s="71"/>
      <c r="D1072" s="71"/>
      <c r="E1072" s="71"/>
      <c r="F1072" s="17" t="s">
        <v>73</v>
      </c>
      <c r="G1072" s="20" t="s">
        <v>674</v>
      </c>
      <c r="H1072" s="62">
        <f>+H191</f>
        <v>9582000</v>
      </c>
      <c r="I1072" s="71"/>
      <c r="J1072" s="390"/>
      <c r="K1072" s="390"/>
      <c r="L1072" s="71"/>
      <c r="M1072" s="62">
        <f>+M191</f>
        <v>6428548.709999999</v>
      </c>
      <c r="N1072" s="62"/>
      <c r="O1072" s="62"/>
      <c r="P1072" s="62"/>
      <c r="Q1072" s="62"/>
      <c r="R1072" s="439"/>
      <c r="S1072" s="52"/>
      <c r="T1072" s="52"/>
      <c r="V1072" s="52">
        <f t="shared" si="135"/>
        <v>3153451.290000001</v>
      </c>
      <c r="AI1072" s="52"/>
    </row>
    <row r="1073" spans="1:35" ht="12">
      <c r="A1073" s="144"/>
      <c r="B1073" s="71"/>
      <c r="C1073" s="71"/>
      <c r="D1073" s="71"/>
      <c r="E1073" s="71"/>
      <c r="F1073" s="17" t="s">
        <v>268</v>
      </c>
      <c r="G1073" s="20" t="s">
        <v>676</v>
      </c>
      <c r="H1073" s="62"/>
      <c r="I1073" s="71"/>
      <c r="J1073" s="62">
        <f>+J192</f>
        <v>200000</v>
      </c>
      <c r="K1073" s="62"/>
      <c r="L1073" s="71"/>
      <c r="M1073" s="62"/>
      <c r="N1073" s="62"/>
      <c r="O1073" s="62">
        <f>+O192</f>
        <v>0</v>
      </c>
      <c r="P1073" s="62"/>
      <c r="Q1073" s="62"/>
      <c r="R1073" s="439"/>
      <c r="S1073" s="52"/>
      <c r="T1073" s="52"/>
      <c r="V1073" s="52">
        <f t="shared" si="135"/>
        <v>0</v>
      </c>
      <c r="AI1073" s="52"/>
    </row>
    <row r="1074" spans="1:35" ht="12">
      <c r="A1074" s="144"/>
      <c r="B1074" s="71"/>
      <c r="C1074" s="71"/>
      <c r="D1074" s="71"/>
      <c r="E1074" s="71"/>
      <c r="F1074" s="1" t="s">
        <v>923</v>
      </c>
      <c r="G1074" s="71"/>
      <c r="H1074" s="62"/>
      <c r="I1074" s="71"/>
      <c r="J1074" s="390"/>
      <c r="K1074" s="390"/>
      <c r="L1074" s="71"/>
      <c r="M1074" s="62"/>
      <c r="N1074" s="62"/>
      <c r="O1074" s="62"/>
      <c r="P1074" s="62"/>
      <c r="Q1074" s="62"/>
      <c r="R1074" s="439"/>
      <c r="S1074" s="52"/>
      <c r="T1074" s="52"/>
      <c r="V1074" s="52">
        <f t="shared" si="135"/>
        <v>0</v>
      </c>
      <c r="AI1074" s="52"/>
    </row>
    <row r="1075" spans="1:35" ht="12">
      <c r="A1075" s="144"/>
      <c r="B1075" s="71"/>
      <c r="C1075" s="71"/>
      <c r="D1075" s="71"/>
      <c r="E1075" s="71"/>
      <c r="F1075" s="151" t="s">
        <v>73</v>
      </c>
      <c r="G1075" s="20" t="s">
        <v>674</v>
      </c>
      <c r="H1075" s="62">
        <f>+H455+H466</f>
        <v>9935000</v>
      </c>
      <c r="I1075" s="71"/>
      <c r="J1075" s="390"/>
      <c r="K1075" s="390"/>
      <c r="L1075" s="71"/>
      <c r="M1075" s="62">
        <f>+M455+M466</f>
        <v>1271017.59</v>
      </c>
      <c r="N1075" s="62"/>
      <c r="O1075" s="62"/>
      <c r="P1075" s="62"/>
      <c r="Q1075" s="62"/>
      <c r="R1075" s="439"/>
      <c r="S1075" s="52"/>
      <c r="T1075" s="52"/>
      <c r="V1075" s="52">
        <f t="shared" si="135"/>
        <v>8663982.41</v>
      </c>
      <c r="AI1075" s="52"/>
    </row>
    <row r="1076" spans="1:35" ht="12">
      <c r="A1076" s="144"/>
      <c r="B1076" s="71"/>
      <c r="C1076" s="71"/>
      <c r="D1076" s="71"/>
      <c r="E1076" s="71"/>
      <c r="F1076" s="17" t="s">
        <v>413</v>
      </c>
      <c r="G1076" s="20" t="s">
        <v>767</v>
      </c>
      <c r="H1076" s="62"/>
      <c r="I1076" s="71"/>
      <c r="J1076" s="390">
        <f>+J467</f>
        <v>90888</v>
      </c>
      <c r="K1076" s="390"/>
      <c r="L1076" s="71"/>
      <c r="M1076" s="62"/>
      <c r="N1076" s="62"/>
      <c r="O1076" s="62">
        <f>+O467</f>
        <v>0</v>
      </c>
      <c r="P1076" s="62"/>
      <c r="Q1076" s="62"/>
      <c r="R1076" s="439"/>
      <c r="S1076" s="52"/>
      <c r="T1076" s="52"/>
      <c r="V1076" s="52">
        <f t="shared" si="135"/>
        <v>0</v>
      </c>
      <c r="AI1076" s="52"/>
    </row>
    <row r="1077" spans="1:35" ht="12">
      <c r="A1077" s="144"/>
      <c r="B1077" s="71"/>
      <c r="C1077" s="71"/>
      <c r="D1077" s="71"/>
      <c r="E1077" s="71"/>
      <c r="F1077" s="1" t="s">
        <v>924</v>
      </c>
      <c r="G1077" s="71"/>
      <c r="H1077" s="62"/>
      <c r="I1077" s="71"/>
      <c r="J1077" s="390"/>
      <c r="K1077" s="390"/>
      <c r="L1077" s="71"/>
      <c r="M1077" s="62"/>
      <c r="N1077" s="62"/>
      <c r="O1077" s="62"/>
      <c r="P1077" s="62"/>
      <c r="Q1077" s="62"/>
      <c r="R1077" s="439"/>
      <c r="S1077" s="52"/>
      <c r="T1077" s="52"/>
      <c r="V1077" s="52">
        <f t="shared" si="135"/>
        <v>0</v>
      </c>
      <c r="AI1077" s="52"/>
    </row>
    <row r="1078" spans="1:35" ht="12">
      <c r="A1078" s="144"/>
      <c r="B1078" s="71"/>
      <c r="C1078" s="71"/>
      <c r="D1078" s="71"/>
      <c r="E1078" s="71"/>
      <c r="F1078" s="17" t="s">
        <v>73</v>
      </c>
      <c r="G1078" s="20" t="s">
        <v>674</v>
      </c>
      <c r="H1078" s="62">
        <f>+H707</f>
        <v>36462000</v>
      </c>
      <c r="I1078" s="71"/>
      <c r="J1078" s="390"/>
      <c r="K1078" s="390"/>
      <c r="L1078" s="71"/>
      <c r="M1078" s="62">
        <f>+M707</f>
        <v>32011122.68</v>
      </c>
      <c r="N1078" s="62"/>
      <c r="O1078" s="62"/>
      <c r="P1078" s="62"/>
      <c r="Q1078" s="62"/>
      <c r="R1078" s="439"/>
      <c r="S1078" s="52"/>
      <c r="T1078" s="52"/>
      <c r="V1078" s="52">
        <f t="shared" si="135"/>
        <v>4450877.32</v>
      </c>
      <c r="AI1078" s="52"/>
    </row>
    <row r="1079" spans="1:35" ht="12">
      <c r="A1079" s="144"/>
      <c r="B1079" s="71"/>
      <c r="C1079" s="71"/>
      <c r="D1079" s="71"/>
      <c r="E1079" s="71"/>
      <c r="F1079" s="151" t="s">
        <v>57</v>
      </c>
      <c r="G1079" s="170" t="s">
        <v>881</v>
      </c>
      <c r="H1079" s="62"/>
      <c r="I1079" s="62">
        <f>+I708</f>
        <v>14168000</v>
      </c>
      <c r="J1079" s="62"/>
      <c r="K1079" s="62"/>
      <c r="L1079" s="62"/>
      <c r="M1079" s="62"/>
      <c r="N1079" s="62">
        <f>+N708</f>
        <v>5430928.04</v>
      </c>
      <c r="O1079" s="62"/>
      <c r="P1079" s="62"/>
      <c r="Q1079" s="62"/>
      <c r="R1079" s="439"/>
      <c r="S1079" s="52"/>
      <c r="T1079" s="52"/>
      <c r="V1079" s="52">
        <f t="shared" si="135"/>
        <v>0</v>
      </c>
      <c r="AI1079" s="52"/>
    </row>
    <row r="1080" spans="1:35" ht="12">
      <c r="A1080" s="144"/>
      <c r="B1080" s="71"/>
      <c r="C1080" s="71"/>
      <c r="D1080" s="71"/>
      <c r="E1080" s="71"/>
      <c r="F1080" s="17" t="s">
        <v>268</v>
      </c>
      <c r="G1080" s="20" t="s">
        <v>676</v>
      </c>
      <c r="H1080" s="62"/>
      <c r="I1080" s="62"/>
      <c r="J1080" s="62">
        <f>+J709</f>
        <v>300000</v>
      </c>
      <c r="K1080" s="62"/>
      <c r="L1080" s="71"/>
      <c r="M1080" s="62"/>
      <c r="N1080" s="62"/>
      <c r="O1080" s="62">
        <f>+O709</f>
        <v>0</v>
      </c>
      <c r="P1080" s="62"/>
      <c r="Q1080" s="62"/>
      <c r="R1080" s="439"/>
      <c r="S1080" s="52"/>
      <c r="T1080" s="52"/>
      <c r="V1080" s="52">
        <f t="shared" si="135"/>
        <v>0</v>
      </c>
      <c r="AI1080" s="52"/>
    </row>
    <row r="1081" spans="1:35" ht="12">
      <c r="A1081" s="144"/>
      <c r="B1081" s="71"/>
      <c r="C1081" s="71"/>
      <c r="D1081" s="71"/>
      <c r="E1081" s="71"/>
      <c r="F1081" s="17" t="s">
        <v>413</v>
      </c>
      <c r="G1081" s="20" t="s">
        <v>767</v>
      </c>
      <c r="H1081" s="62"/>
      <c r="I1081" s="62"/>
      <c r="J1081" s="62">
        <f>+J710</f>
        <v>300000</v>
      </c>
      <c r="K1081" s="62"/>
      <c r="L1081" s="71"/>
      <c r="M1081" s="62"/>
      <c r="N1081" s="62"/>
      <c r="O1081" s="62">
        <f>+O710</f>
        <v>300000</v>
      </c>
      <c r="P1081" s="62"/>
      <c r="Q1081" s="62"/>
      <c r="R1081" s="439"/>
      <c r="S1081" s="52"/>
      <c r="T1081" s="52"/>
      <c r="V1081" s="52">
        <f t="shared" si="135"/>
        <v>0</v>
      </c>
      <c r="AI1081" s="52"/>
    </row>
    <row r="1082" spans="1:35" ht="12">
      <c r="A1082" s="144"/>
      <c r="B1082" s="71"/>
      <c r="C1082" s="71"/>
      <c r="D1082" s="71"/>
      <c r="E1082" s="71"/>
      <c r="F1082" s="1" t="s">
        <v>939</v>
      </c>
      <c r="G1082" s="71"/>
      <c r="H1082" s="62"/>
      <c r="I1082" s="71"/>
      <c r="J1082" s="62"/>
      <c r="K1082" s="390"/>
      <c r="L1082" s="71"/>
      <c r="M1082" s="62"/>
      <c r="N1082" s="62"/>
      <c r="O1082" s="62"/>
      <c r="P1082" s="62"/>
      <c r="Q1082" s="62"/>
      <c r="R1082" s="439"/>
      <c r="S1082" s="52"/>
      <c r="T1082" s="52"/>
      <c r="V1082" s="52">
        <f t="shared" si="135"/>
        <v>0</v>
      </c>
      <c r="AI1082" s="52"/>
    </row>
    <row r="1083" spans="1:35" ht="12">
      <c r="A1083" s="144"/>
      <c r="B1083" s="71"/>
      <c r="C1083" s="71"/>
      <c r="D1083" s="71"/>
      <c r="E1083" s="71"/>
      <c r="F1083" s="17" t="s">
        <v>73</v>
      </c>
      <c r="G1083" s="20" t="s">
        <v>674</v>
      </c>
      <c r="H1083" s="62">
        <f>+H298</f>
        <v>13099000</v>
      </c>
      <c r="I1083" s="71"/>
      <c r="J1083" s="62"/>
      <c r="K1083" s="390"/>
      <c r="L1083" s="71"/>
      <c r="M1083" s="62">
        <f>+M298</f>
        <v>12086552.2</v>
      </c>
      <c r="N1083" s="62"/>
      <c r="O1083" s="62"/>
      <c r="P1083" s="62"/>
      <c r="Q1083" s="62"/>
      <c r="R1083" s="439"/>
      <c r="S1083" s="52"/>
      <c r="T1083" s="52"/>
      <c r="V1083" s="52">
        <f t="shared" si="135"/>
        <v>1012447.8000000007</v>
      </c>
      <c r="AI1083" s="52"/>
    </row>
    <row r="1084" spans="1:35" ht="12">
      <c r="A1084" s="144"/>
      <c r="B1084" s="71"/>
      <c r="C1084" s="71"/>
      <c r="D1084" s="71"/>
      <c r="E1084" s="71"/>
      <c r="F1084" s="151" t="s">
        <v>413</v>
      </c>
      <c r="G1084" s="20" t="s">
        <v>767</v>
      </c>
      <c r="H1084" s="62"/>
      <c r="I1084" s="71"/>
      <c r="J1084" s="62">
        <f>+J263</f>
        <v>1000000</v>
      </c>
      <c r="K1084" s="390"/>
      <c r="L1084" s="71"/>
      <c r="M1084" s="62"/>
      <c r="N1084" s="62"/>
      <c r="O1084" s="62">
        <f>+O263</f>
        <v>1000000</v>
      </c>
      <c r="P1084" s="62"/>
      <c r="Q1084" s="62"/>
      <c r="R1084" s="439"/>
      <c r="S1084" s="52"/>
      <c r="T1084" s="52"/>
      <c r="V1084" s="52">
        <f t="shared" si="135"/>
        <v>0</v>
      </c>
      <c r="AI1084" s="52"/>
    </row>
    <row r="1085" spans="1:35" ht="12">
      <c r="A1085" s="144"/>
      <c r="B1085" s="71"/>
      <c r="C1085" s="71"/>
      <c r="D1085" s="71"/>
      <c r="E1085" s="71"/>
      <c r="F1085" s="1" t="s">
        <v>940</v>
      </c>
      <c r="G1085" s="71"/>
      <c r="H1085" s="62"/>
      <c r="I1085" s="71"/>
      <c r="J1085" s="62"/>
      <c r="K1085" s="390"/>
      <c r="L1085" s="71"/>
      <c r="M1085" s="62"/>
      <c r="N1085" s="62"/>
      <c r="O1085" s="62"/>
      <c r="P1085" s="62"/>
      <c r="Q1085" s="62"/>
      <c r="R1085" s="439"/>
      <c r="S1085" s="52"/>
      <c r="T1085" s="52"/>
      <c r="V1085" s="52">
        <f t="shared" si="135"/>
        <v>0</v>
      </c>
      <c r="AI1085" s="52"/>
    </row>
    <row r="1086" spans="1:35" ht="12">
      <c r="A1086" s="144"/>
      <c r="B1086" s="71"/>
      <c r="C1086" s="71"/>
      <c r="D1086" s="71"/>
      <c r="E1086" s="71"/>
      <c r="F1086" s="151" t="s">
        <v>73</v>
      </c>
      <c r="G1086" s="20" t="s">
        <v>674</v>
      </c>
      <c r="H1086" s="62">
        <f>+H480</f>
        <v>0</v>
      </c>
      <c r="I1086" s="71"/>
      <c r="J1086" s="62"/>
      <c r="K1086" s="390"/>
      <c r="L1086" s="71"/>
      <c r="M1086" s="62">
        <f>+M480</f>
        <v>0</v>
      </c>
      <c r="N1086" s="62"/>
      <c r="O1086" s="62"/>
      <c r="P1086" s="62"/>
      <c r="Q1086" s="62"/>
      <c r="R1086" s="439"/>
      <c r="S1086" s="52"/>
      <c r="T1086" s="52"/>
      <c r="V1086" s="52">
        <f t="shared" si="135"/>
        <v>0</v>
      </c>
      <c r="AI1086" s="52"/>
    </row>
    <row r="1087" spans="1:35" ht="12">
      <c r="A1087" s="144"/>
      <c r="B1087" s="71"/>
      <c r="C1087" s="71"/>
      <c r="D1087" s="71"/>
      <c r="E1087" s="71"/>
      <c r="F1087" s="17" t="s">
        <v>413</v>
      </c>
      <c r="G1087" s="20" t="s">
        <v>767</v>
      </c>
      <c r="H1087" s="62"/>
      <c r="I1087" s="71"/>
      <c r="J1087" s="62">
        <f>+J481</f>
        <v>4136224</v>
      </c>
      <c r="K1087" s="390"/>
      <c r="L1087" s="71"/>
      <c r="M1087" s="62"/>
      <c r="N1087" s="62"/>
      <c r="O1087" s="62">
        <f>+O481</f>
        <v>1475000</v>
      </c>
      <c r="P1087" s="62"/>
      <c r="Q1087" s="62"/>
      <c r="R1087" s="439"/>
      <c r="S1087" s="52"/>
      <c r="T1087" s="52"/>
      <c r="V1087" s="52">
        <f t="shared" si="135"/>
        <v>0</v>
      </c>
      <c r="AI1087" s="52"/>
    </row>
    <row r="1088" spans="1:35" ht="12">
      <c r="A1088" s="144"/>
      <c r="B1088" s="71"/>
      <c r="C1088" s="71"/>
      <c r="D1088" s="71"/>
      <c r="E1088" s="71"/>
      <c r="F1088" s="17" t="s">
        <v>353</v>
      </c>
      <c r="G1088" s="20" t="s">
        <v>776</v>
      </c>
      <c r="H1088" s="62"/>
      <c r="I1088" s="71"/>
      <c r="J1088" s="62">
        <f>+J482</f>
        <v>22328</v>
      </c>
      <c r="K1088" s="390"/>
      <c r="L1088" s="71"/>
      <c r="M1088" s="62"/>
      <c r="N1088" s="62"/>
      <c r="O1088" s="62">
        <f>+O482</f>
        <v>0</v>
      </c>
      <c r="P1088" s="62"/>
      <c r="Q1088" s="62"/>
      <c r="R1088" s="439"/>
      <c r="S1088" s="52"/>
      <c r="T1088" s="52"/>
      <c r="V1088" s="52">
        <f t="shared" si="135"/>
        <v>0</v>
      </c>
      <c r="AI1088" s="52"/>
    </row>
    <row r="1089" spans="1:35" ht="12">
      <c r="A1089" s="144"/>
      <c r="B1089" s="71"/>
      <c r="C1089" s="71"/>
      <c r="D1089" s="71"/>
      <c r="E1089" s="71"/>
      <c r="F1089" s="1" t="s">
        <v>925</v>
      </c>
      <c r="G1089" s="71"/>
      <c r="H1089" s="62"/>
      <c r="I1089" s="71"/>
      <c r="J1089" s="62"/>
      <c r="K1089" s="390"/>
      <c r="L1089" s="71"/>
      <c r="M1089" s="62"/>
      <c r="N1089" s="62"/>
      <c r="O1089" s="62"/>
      <c r="P1089" s="62"/>
      <c r="Q1089" s="62"/>
      <c r="R1089" s="439"/>
      <c r="S1089" s="52"/>
      <c r="T1089" s="52"/>
      <c r="V1089" s="52">
        <f t="shared" si="135"/>
        <v>0</v>
      </c>
      <c r="AI1089" s="52"/>
    </row>
    <row r="1090" spans="1:35" ht="12">
      <c r="A1090" s="144"/>
      <c r="B1090" s="71"/>
      <c r="C1090" s="71"/>
      <c r="D1090" s="71"/>
      <c r="E1090" s="71"/>
      <c r="F1090" s="138" t="s">
        <v>73</v>
      </c>
      <c r="G1090" s="20" t="s">
        <v>674</v>
      </c>
      <c r="H1090" s="62">
        <f>+H430</f>
        <v>1320000</v>
      </c>
      <c r="I1090" s="71"/>
      <c r="J1090" s="390"/>
      <c r="K1090" s="390"/>
      <c r="L1090" s="71"/>
      <c r="M1090" s="62">
        <f>+M430</f>
        <v>1273464.27</v>
      </c>
      <c r="N1090" s="62"/>
      <c r="O1090" s="62"/>
      <c r="P1090" s="62"/>
      <c r="Q1090" s="62"/>
      <c r="R1090" s="439"/>
      <c r="S1090" s="52"/>
      <c r="T1090" s="52"/>
      <c r="V1090" s="52">
        <f t="shared" si="135"/>
        <v>46535.72999999998</v>
      </c>
      <c r="AI1090" s="52"/>
    </row>
    <row r="1091" spans="1:35" ht="12">
      <c r="A1091" s="144"/>
      <c r="B1091" s="71"/>
      <c r="C1091" s="71"/>
      <c r="D1091" s="71"/>
      <c r="E1091" s="71"/>
      <c r="F1091" s="1" t="s">
        <v>926</v>
      </c>
      <c r="G1091" s="71"/>
      <c r="H1091" s="62"/>
      <c r="I1091" s="71"/>
      <c r="J1091" s="390"/>
      <c r="K1091" s="390"/>
      <c r="L1091" s="71"/>
      <c r="M1091" s="62"/>
      <c r="N1091" s="62"/>
      <c r="O1091" s="62"/>
      <c r="P1091" s="62"/>
      <c r="Q1091" s="62"/>
      <c r="R1091" s="439"/>
      <c r="S1091" s="52"/>
      <c r="T1091" s="52"/>
      <c r="V1091" s="52">
        <f t="shared" si="135"/>
        <v>0</v>
      </c>
      <c r="AI1091" s="52"/>
    </row>
    <row r="1092" spans="1:35" ht="12">
      <c r="A1092" s="144"/>
      <c r="B1092" s="71"/>
      <c r="C1092" s="71"/>
      <c r="D1092" s="71"/>
      <c r="E1092" s="71"/>
      <c r="F1092" s="151" t="s">
        <v>73</v>
      </c>
      <c r="G1092" s="20" t="s">
        <v>674</v>
      </c>
      <c r="H1092" s="62">
        <f>+H302+H373+H585+H784</f>
        <v>183804499</v>
      </c>
      <c r="I1092" s="71"/>
      <c r="J1092" s="390"/>
      <c r="K1092" s="390"/>
      <c r="L1092" s="71"/>
      <c r="M1092" s="62">
        <f>+M302+M373+M585+M784</f>
        <v>130439140.11</v>
      </c>
      <c r="N1092" s="62"/>
      <c r="O1092" s="62"/>
      <c r="P1092" s="62"/>
      <c r="Q1092" s="62"/>
      <c r="R1092" s="439"/>
      <c r="S1092" s="52"/>
      <c r="T1092" s="52"/>
      <c r="V1092" s="52">
        <f t="shared" si="135"/>
        <v>53365358.89</v>
      </c>
      <c r="AI1092" s="52"/>
    </row>
    <row r="1093" spans="1:35" ht="12">
      <c r="A1093" s="144"/>
      <c r="B1093" s="71"/>
      <c r="C1093" s="71"/>
      <c r="D1093" s="71"/>
      <c r="E1093" s="71"/>
      <c r="F1093" s="17" t="s">
        <v>268</v>
      </c>
      <c r="G1093" s="20" t="s">
        <v>676</v>
      </c>
      <c r="H1093" s="62"/>
      <c r="I1093" s="71"/>
      <c r="J1093" s="62">
        <f>+J785</f>
        <v>327918</v>
      </c>
      <c r="K1093" s="62"/>
      <c r="L1093" s="71"/>
      <c r="M1093" s="62"/>
      <c r="N1093" s="62"/>
      <c r="O1093" s="62">
        <f>+O785</f>
        <v>327918</v>
      </c>
      <c r="P1093" s="62"/>
      <c r="Q1093" s="62"/>
      <c r="R1093" s="439"/>
      <c r="S1093" s="52"/>
      <c r="T1093" s="52"/>
      <c r="V1093" s="52">
        <f t="shared" si="135"/>
        <v>0</v>
      </c>
      <c r="AI1093" s="52"/>
    </row>
    <row r="1094" spans="1:35" ht="12">
      <c r="A1094" s="144"/>
      <c r="B1094" s="71"/>
      <c r="C1094" s="71"/>
      <c r="D1094" s="71"/>
      <c r="E1094" s="71"/>
      <c r="F1094" s="17" t="s">
        <v>268</v>
      </c>
      <c r="G1094" s="20" t="s">
        <v>675</v>
      </c>
      <c r="H1094" s="62"/>
      <c r="I1094" s="71"/>
      <c r="J1094" s="62">
        <f>+J786</f>
        <v>1000000</v>
      </c>
      <c r="K1094" s="62"/>
      <c r="L1094" s="71"/>
      <c r="M1094" s="62"/>
      <c r="N1094" s="62"/>
      <c r="O1094" s="62">
        <f>+O786</f>
        <v>0</v>
      </c>
      <c r="P1094" s="62"/>
      <c r="Q1094" s="62"/>
      <c r="R1094" s="439"/>
      <c r="S1094" s="52"/>
      <c r="T1094" s="52"/>
      <c r="V1094" s="52">
        <f t="shared" si="135"/>
        <v>0</v>
      </c>
      <c r="AI1094" s="52"/>
    </row>
    <row r="1095" spans="1:35" ht="12">
      <c r="A1095" s="144"/>
      <c r="B1095" s="71"/>
      <c r="C1095" s="71"/>
      <c r="D1095" s="71"/>
      <c r="E1095" s="71"/>
      <c r="F1095" s="151" t="s">
        <v>58</v>
      </c>
      <c r="G1095" s="20" t="s">
        <v>678</v>
      </c>
      <c r="H1095" s="62"/>
      <c r="I1095" s="71"/>
      <c r="J1095" s="62"/>
      <c r="K1095" s="62">
        <f>+K374</f>
        <v>72634661</v>
      </c>
      <c r="L1095" s="71"/>
      <c r="M1095" s="62"/>
      <c r="N1095" s="62"/>
      <c r="O1095" s="62"/>
      <c r="P1095" s="62">
        <f>+P374</f>
        <v>29301266.91</v>
      </c>
      <c r="Q1095" s="62"/>
      <c r="R1095" s="439"/>
      <c r="S1095" s="52"/>
      <c r="T1095" s="52"/>
      <c r="V1095" s="52">
        <f t="shared" si="135"/>
        <v>0</v>
      </c>
      <c r="AI1095" s="52"/>
    </row>
    <row r="1096" spans="1:35" ht="12">
      <c r="A1096" s="144"/>
      <c r="B1096" s="71"/>
      <c r="C1096" s="71"/>
      <c r="D1096" s="71"/>
      <c r="E1096" s="71"/>
      <c r="F1096" s="151" t="s">
        <v>413</v>
      </c>
      <c r="G1096" s="20" t="s">
        <v>767</v>
      </c>
      <c r="H1096" s="62"/>
      <c r="I1096" s="71"/>
      <c r="J1096" s="62">
        <f>+J787+J375+J586</f>
        <v>3153888</v>
      </c>
      <c r="K1096" s="62"/>
      <c r="L1096" s="71"/>
      <c r="M1096" s="62"/>
      <c r="N1096" s="62"/>
      <c r="O1096" s="62">
        <f>+O787+O375+O586</f>
        <v>1153888</v>
      </c>
      <c r="Q1096" s="62"/>
      <c r="R1096" s="439"/>
      <c r="S1096" s="52"/>
      <c r="T1096" s="52"/>
      <c r="V1096" s="52">
        <f t="shared" si="135"/>
        <v>0</v>
      </c>
      <c r="AI1096" s="52"/>
    </row>
    <row r="1097" spans="1:35" ht="12">
      <c r="A1097" s="144"/>
      <c r="B1097" s="71"/>
      <c r="C1097" s="71"/>
      <c r="D1097" s="71"/>
      <c r="E1097" s="71"/>
      <c r="F1097" s="151" t="s">
        <v>353</v>
      </c>
      <c r="G1097" s="20" t="s">
        <v>776</v>
      </c>
      <c r="H1097" s="62"/>
      <c r="I1097" s="71"/>
      <c r="J1097" s="62">
        <f>+J788</f>
        <v>2400000</v>
      </c>
      <c r="K1097" s="62"/>
      <c r="L1097" s="71"/>
      <c r="M1097" s="62"/>
      <c r="N1097" s="62"/>
      <c r="O1097" s="62">
        <f>+O788</f>
        <v>2396208</v>
      </c>
      <c r="Q1097" s="62"/>
      <c r="R1097" s="439"/>
      <c r="S1097" s="52"/>
      <c r="T1097" s="52"/>
      <c r="V1097" s="52">
        <f t="shared" si="135"/>
        <v>0</v>
      </c>
      <c r="AI1097" s="52"/>
    </row>
    <row r="1098" spans="1:35" ht="12">
      <c r="A1098" s="144"/>
      <c r="B1098" s="71"/>
      <c r="C1098" s="71"/>
      <c r="D1098" s="71"/>
      <c r="E1098" s="71"/>
      <c r="F1098" s="1" t="s">
        <v>934</v>
      </c>
      <c r="G1098" s="71"/>
      <c r="H1098" s="62"/>
      <c r="I1098" s="71"/>
      <c r="J1098" s="390"/>
      <c r="K1098" s="390"/>
      <c r="L1098" s="71"/>
      <c r="M1098" s="62"/>
      <c r="N1098" s="62"/>
      <c r="O1098" s="62"/>
      <c r="P1098" s="62"/>
      <c r="Q1098" s="62"/>
      <c r="R1098" s="439"/>
      <c r="S1098" s="52"/>
      <c r="T1098" s="52"/>
      <c r="V1098" s="52">
        <f t="shared" si="135"/>
        <v>0</v>
      </c>
      <c r="AI1098" s="52"/>
    </row>
    <row r="1099" spans="1:35" ht="12">
      <c r="A1099" s="144"/>
      <c r="B1099" s="71"/>
      <c r="C1099" s="71"/>
      <c r="D1099" s="71"/>
      <c r="E1099" s="71"/>
      <c r="F1099" s="151" t="s">
        <v>73</v>
      </c>
      <c r="G1099" s="20" t="s">
        <v>674</v>
      </c>
      <c r="H1099" s="62">
        <f>+H305+H791</f>
        <v>35738098.8</v>
      </c>
      <c r="I1099" s="71"/>
      <c r="J1099" s="390"/>
      <c r="K1099" s="390"/>
      <c r="L1099" s="71"/>
      <c r="M1099" s="62">
        <f>+M305+M791</f>
        <v>26661695.25</v>
      </c>
      <c r="N1099" s="62"/>
      <c r="O1099" s="62"/>
      <c r="P1099" s="62"/>
      <c r="Q1099" s="62"/>
      <c r="R1099" s="439"/>
      <c r="S1099" s="52"/>
      <c r="T1099" s="52"/>
      <c r="V1099" s="52">
        <f t="shared" si="135"/>
        <v>9076403.549999997</v>
      </c>
      <c r="AI1099" s="52"/>
    </row>
    <row r="1100" spans="1:35" ht="12">
      <c r="A1100" s="144"/>
      <c r="B1100" s="71"/>
      <c r="C1100" s="71"/>
      <c r="D1100" s="71"/>
      <c r="E1100" s="71"/>
      <c r="F1100" s="151" t="s">
        <v>413</v>
      </c>
      <c r="G1100" s="20" t="s">
        <v>767</v>
      </c>
      <c r="H1100" s="62"/>
      <c r="I1100" s="71"/>
      <c r="J1100" s="390">
        <f>+J306</f>
        <v>4754428</v>
      </c>
      <c r="K1100" s="390"/>
      <c r="L1100" s="71"/>
      <c r="M1100" s="62"/>
      <c r="N1100" s="62"/>
      <c r="O1100" s="62">
        <f>+O306</f>
        <v>4754428</v>
      </c>
      <c r="P1100" s="62"/>
      <c r="Q1100" s="62"/>
      <c r="R1100" s="439"/>
      <c r="S1100" s="52"/>
      <c r="T1100" s="52"/>
      <c r="V1100" s="52">
        <f t="shared" si="135"/>
        <v>0</v>
      </c>
      <c r="AI1100" s="52"/>
    </row>
    <row r="1101" spans="1:35" ht="12">
      <c r="A1101" s="144"/>
      <c r="B1101" s="71"/>
      <c r="C1101" s="71"/>
      <c r="D1101" s="71"/>
      <c r="E1101" s="71"/>
      <c r="F1101" s="1" t="s">
        <v>927</v>
      </c>
      <c r="G1101" s="71"/>
      <c r="H1101" s="62"/>
      <c r="I1101" s="71"/>
      <c r="J1101" s="390"/>
      <c r="K1101" s="390"/>
      <c r="L1101" s="71"/>
      <c r="M1101" s="62"/>
      <c r="N1101" s="62"/>
      <c r="O1101" s="62"/>
      <c r="P1101" s="62"/>
      <c r="Q1101" s="62"/>
      <c r="R1101" s="439"/>
      <c r="S1101" s="52"/>
      <c r="T1101" s="52"/>
      <c r="V1101" s="52">
        <f t="shared" si="135"/>
        <v>0</v>
      </c>
      <c r="AI1101" s="52"/>
    </row>
    <row r="1102" spans="1:35" ht="12">
      <c r="A1102" s="144"/>
      <c r="B1102" s="71"/>
      <c r="C1102" s="71"/>
      <c r="D1102" s="71"/>
      <c r="E1102" s="71"/>
      <c r="F1102" s="17" t="s">
        <v>73</v>
      </c>
      <c r="G1102" s="20" t="s">
        <v>674</v>
      </c>
      <c r="H1102" s="62">
        <f>+H419+H309</f>
        <v>5330000</v>
      </c>
      <c r="I1102" s="71"/>
      <c r="J1102" s="390"/>
      <c r="K1102" s="390"/>
      <c r="L1102" s="71"/>
      <c r="M1102" s="62">
        <f>+M419+M309</f>
        <v>4227969.3</v>
      </c>
      <c r="N1102" s="62"/>
      <c r="O1102" s="62"/>
      <c r="P1102" s="62"/>
      <c r="Q1102" s="62"/>
      <c r="R1102" s="439"/>
      <c r="S1102" s="52"/>
      <c r="T1102" s="52"/>
      <c r="V1102" s="52">
        <f t="shared" si="135"/>
        <v>1102030.7000000002</v>
      </c>
      <c r="AI1102" s="52"/>
    </row>
    <row r="1103" spans="1:35" ht="12">
      <c r="A1103" s="144"/>
      <c r="B1103" s="71"/>
      <c r="C1103" s="71"/>
      <c r="D1103" s="71"/>
      <c r="E1103" s="71"/>
      <c r="F1103" s="1" t="s">
        <v>928</v>
      </c>
      <c r="G1103" s="71"/>
      <c r="H1103" s="62"/>
      <c r="I1103" s="71"/>
      <c r="J1103" s="390"/>
      <c r="K1103" s="390"/>
      <c r="L1103" s="71"/>
      <c r="M1103" s="62"/>
      <c r="N1103" s="62"/>
      <c r="O1103" s="62"/>
      <c r="P1103" s="62"/>
      <c r="Q1103" s="62"/>
      <c r="R1103" s="439"/>
      <c r="S1103" s="52"/>
      <c r="T1103" s="52"/>
      <c r="V1103" s="52">
        <f t="shared" si="135"/>
        <v>0</v>
      </c>
      <c r="AI1103" s="52"/>
    </row>
    <row r="1104" spans="1:35" ht="12">
      <c r="A1104" s="144"/>
      <c r="B1104" s="71"/>
      <c r="C1104" s="71"/>
      <c r="D1104" s="71"/>
      <c r="E1104" s="71"/>
      <c r="F1104" s="17" t="s">
        <v>73</v>
      </c>
      <c r="G1104" s="20" t="s">
        <v>674</v>
      </c>
      <c r="H1104" s="62">
        <f>+H384+H739</f>
        <v>30470000</v>
      </c>
      <c r="I1104" s="71"/>
      <c r="J1104" s="390"/>
      <c r="K1104" s="390"/>
      <c r="L1104" s="71"/>
      <c r="M1104" s="62">
        <f>+M384+M739</f>
        <v>27781555.61</v>
      </c>
      <c r="N1104" s="62"/>
      <c r="O1104" s="62"/>
      <c r="P1104" s="62"/>
      <c r="Q1104" s="62"/>
      <c r="R1104" s="439"/>
      <c r="S1104" s="52"/>
      <c r="T1104" s="52"/>
      <c r="V1104" s="52">
        <f t="shared" si="135"/>
        <v>2688444.3900000006</v>
      </c>
      <c r="AI1104" s="52"/>
    </row>
    <row r="1105" spans="1:35" ht="12">
      <c r="A1105" s="144"/>
      <c r="B1105" s="71"/>
      <c r="C1105" s="71"/>
      <c r="D1105" s="71"/>
      <c r="E1105" s="71"/>
      <c r="F1105" s="151" t="s">
        <v>57</v>
      </c>
      <c r="G1105" s="170" t="s">
        <v>881</v>
      </c>
      <c r="H1105" s="62"/>
      <c r="I1105" s="62">
        <f>+I740</f>
        <v>13608000</v>
      </c>
      <c r="J1105" s="62"/>
      <c r="K1105" s="62"/>
      <c r="L1105" s="62"/>
      <c r="M1105" s="62"/>
      <c r="N1105" s="62">
        <f>+N740</f>
        <v>7497919</v>
      </c>
      <c r="O1105" s="62"/>
      <c r="P1105" s="62"/>
      <c r="Q1105" s="62"/>
      <c r="R1105" s="439"/>
      <c r="S1105" s="52"/>
      <c r="T1105" s="52"/>
      <c r="V1105" s="52">
        <f t="shared" si="135"/>
        <v>0</v>
      </c>
      <c r="AI1105" s="52"/>
    </row>
    <row r="1106" spans="1:35" ht="12">
      <c r="A1106" s="144"/>
      <c r="B1106" s="71"/>
      <c r="C1106" s="71"/>
      <c r="D1106" s="71"/>
      <c r="E1106" s="71"/>
      <c r="F1106" s="17" t="s">
        <v>268</v>
      </c>
      <c r="G1106" s="20" t="s">
        <v>676</v>
      </c>
      <c r="H1106" s="62"/>
      <c r="I1106" s="62"/>
      <c r="J1106" s="62">
        <f>+J741</f>
        <v>200000</v>
      </c>
      <c r="K1106" s="62"/>
      <c r="L1106" s="71"/>
      <c r="M1106" s="62"/>
      <c r="N1106" s="62"/>
      <c r="O1106" s="62">
        <f>+O741</f>
        <v>0</v>
      </c>
      <c r="P1106" s="62"/>
      <c r="Q1106" s="62"/>
      <c r="R1106" s="439"/>
      <c r="S1106" s="52"/>
      <c r="T1106" s="52"/>
      <c r="V1106" s="52">
        <f t="shared" si="135"/>
        <v>0</v>
      </c>
      <c r="AI1106" s="52"/>
    </row>
    <row r="1107" spans="1:35" ht="12">
      <c r="A1107" s="144"/>
      <c r="B1107" s="71"/>
      <c r="C1107" s="71"/>
      <c r="D1107" s="71"/>
      <c r="E1107" s="71"/>
      <c r="F1107" s="1" t="s">
        <v>929</v>
      </c>
      <c r="G1107" s="71"/>
      <c r="H1107" s="62"/>
      <c r="I1107" s="71"/>
      <c r="J1107" s="390"/>
      <c r="K1107" s="390"/>
      <c r="L1107" s="71"/>
      <c r="M1107" s="62"/>
      <c r="N1107" s="62"/>
      <c r="O1107" s="62"/>
      <c r="P1107" s="62"/>
      <c r="Q1107" s="62"/>
      <c r="R1107" s="439"/>
      <c r="S1107" s="52"/>
      <c r="T1107" s="52"/>
      <c r="V1107" s="52">
        <f t="shared" si="135"/>
        <v>0</v>
      </c>
      <c r="AI1107" s="52"/>
    </row>
    <row r="1108" spans="1:35" ht="12">
      <c r="A1108" s="144"/>
      <c r="B1108" s="71"/>
      <c r="C1108" s="71"/>
      <c r="D1108" s="71"/>
      <c r="E1108" s="71"/>
      <c r="F1108" s="17" t="s">
        <v>73</v>
      </c>
      <c r="G1108" s="20" t="s">
        <v>674</v>
      </c>
      <c r="H1108" s="62">
        <f>+H378+H615+H647+H312</f>
        <v>37257000</v>
      </c>
      <c r="I1108" s="71"/>
      <c r="J1108" s="390"/>
      <c r="K1108" s="390"/>
      <c r="L1108" s="71"/>
      <c r="M1108" s="62">
        <f>+M378+M615+M647+M312</f>
        <v>34245704.58</v>
      </c>
      <c r="N1108" s="62"/>
      <c r="O1108" s="62"/>
      <c r="P1108" s="62"/>
      <c r="Q1108" s="62"/>
      <c r="R1108" s="439"/>
      <c r="S1108" s="52"/>
      <c r="T1108" s="52"/>
      <c r="V1108" s="52">
        <f t="shared" si="135"/>
        <v>3011295.420000002</v>
      </c>
      <c r="AI1108" s="52"/>
    </row>
    <row r="1109" spans="1:245" ht="12">
      <c r="A1109" s="320"/>
      <c r="B1109" s="170"/>
      <c r="C1109" s="151"/>
      <c r="D1109" s="170"/>
      <c r="E1109" s="151"/>
      <c r="F1109" s="151" t="s">
        <v>57</v>
      </c>
      <c r="G1109" s="170" t="s">
        <v>881</v>
      </c>
      <c r="H1109" s="151"/>
      <c r="I1109" s="400">
        <f>+I616+I648</f>
        <v>7970000</v>
      </c>
      <c r="J1109" s="400"/>
      <c r="K1109" s="400"/>
      <c r="L1109" s="400"/>
      <c r="M1109" s="400"/>
      <c r="N1109" s="400">
        <f>+N616+N648</f>
        <v>2588350.7</v>
      </c>
      <c r="O1109" s="400"/>
      <c r="P1109" s="395"/>
      <c r="Q1109" s="395"/>
      <c r="R1109" s="444"/>
      <c r="S1109" s="395"/>
      <c r="T1109" s="396"/>
      <c r="U1109" s="151"/>
      <c r="V1109" s="52">
        <f t="shared" si="135"/>
        <v>0</v>
      </c>
      <c r="W1109" s="151"/>
      <c r="X1109" s="170"/>
      <c r="Y1109" s="151"/>
      <c r="Z1109" s="170"/>
      <c r="AA1109" s="151"/>
      <c r="AB1109" s="170"/>
      <c r="AC1109" s="151"/>
      <c r="AD1109" s="170"/>
      <c r="AE1109" s="151"/>
      <c r="AF1109" s="170"/>
      <c r="AG1109" s="151"/>
      <c r="AH1109" s="170"/>
      <c r="AI1109" s="52"/>
      <c r="AJ1109" s="170"/>
      <c r="AK1109" s="151"/>
      <c r="AL1109" s="170"/>
      <c r="AM1109" s="151"/>
      <c r="AN1109" s="170"/>
      <c r="AO1109" s="151"/>
      <c r="AP1109" s="170"/>
      <c r="AQ1109" s="151"/>
      <c r="AR1109" s="170"/>
      <c r="AS1109" s="151"/>
      <c r="AT1109" s="170"/>
      <c r="AU1109" s="151"/>
      <c r="AV1109" s="170"/>
      <c r="AW1109" s="151"/>
      <c r="AX1109" s="170"/>
      <c r="AY1109" s="151"/>
      <c r="AZ1109" s="170"/>
      <c r="BA1109" s="151"/>
      <c r="BB1109" s="170"/>
      <c r="BC1109" s="151"/>
      <c r="BD1109" s="170"/>
      <c r="BE1109" s="151"/>
      <c r="BF1109" s="170"/>
      <c r="BG1109" s="151"/>
      <c r="BH1109" s="170"/>
      <c r="BI1109" s="151"/>
      <c r="BJ1109" s="170"/>
      <c r="BK1109" s="151"/>
      <c r="BL1109" s="170"/>
      <c r="BM1109" s="151"/>
      <c r="BN1109" s="170"/>
      <c r="BO1109" s="151"/>
      <c r="BP1109" s="170"/>
      <c r="BQ1109" s="151"/>
      <c r="BR1109" s="170"/>
      <c r="BS1109" s="151"/>
      <c r="BT1109" s="170"/>
      <c r="BU1109" s="151"/>
      <c r="BV1109" s="170"/>
      <c r="BW1109" s="151"/>
      <c r="BX1109" s="170"/>
      <c r="BY1109" s="151"/>
      <c r="BZ1109" s="170"/>
      <c r="CA1109" s="151"/>
      <c r="CB1109" s="170"/>
      <c r="CC1109" s="151"/>
      <c r="CD1109" s="170"/>
      <c r="CE1109" s="151"/>
      <c r="CF1109" s="170"/>
      <c r="CG1109" s="151"/>
      <c r="CH1109" s="170"/>
      <c r="CI1109" s="151"/>
      <c r="CJ1109" s="170"/>
      <c r="CK1109" s="151"/>
      <c r="CL1109" s="170"/>
      <c r="CM1109" s="151"/>
      <c r="CN1109" s="170"/>
      <c r="CO1109" s="151"/>
      <c r="CP1109" s="170"/>
      <c r="CQ1109" s="151"/>
      <c r="CR1109" s="170"/>
      <c r="CS1109" s="151"/>
      <c r="CT1109" s="170"/>
      <c r="CU1109" s="151"/>
      <c r="CV1109" s="170"/>
      <c r="CW1109" s="151"/>
      <c r="CX1109" s="170"/>
      <c r="CY1109" s="151"/>
      <c r="CZ1109" s="170"/>
      <c r="DA1109" s="151"/>
      <c r="DB1109" s="170"/>
      <c r="DC1109" s="151"/>
      <c r="DD1109" s="170"/>
      <c r="DE1109" s="151"/>
      <c r="DF1109" s="170"/>
      <c r="DG1109" s="151"/>
      <c r="DH1109" s="170"/>
      <c r="DI1109" s="151"/>
      <c r="DJ1109" s="170"/>
      <c r="DK1109" s="151"/>
      <c r="DL1109" s="170"/>
      <c r="DM1109" s="151"/>
      <c r="DN1109" s="170"/>
      <c r="DO1109" s="151"/>
      <c r="DP1109" s="170"/>
      <c r="DQ1109" s="151"/>
      <c r="DR1109" s="170"/>
      <c r="DS1109" s="151"/>
      <c r="DT1109" s="170"/>
      <c r="DU1109" s="151"/>
      <c r="DV1109" s="170"/>
      <c r="DW1109" s="151"/>
      <c r="DX1109" s="170"/>
      <c r="DY1109" s="151"/>
      <c r="DZ1109" s="170"/>
      <c r="EA1109" s="151"/>
      <c r="EB1109" s="170"/>
      <c r="EC1109" s="151"/>
      <c r="ED1109" s="170"/>
      <c r="EE1109" s="151"/>
      <c r="EF1109" s="170"/>
      <c r="EG1109" s="151"/>
      <c r="EH1109" s="170"/>
      <c r="EI1109" s="151"/>
      <c r="EJ1109" s="170"/>
      <c r="EK1109" s="151"/>
      <c r="EL1109" s="170"/>
      <c r="EM1109" s="151"/>
      <c r="EN1109" s="170"/>
      <c r="EO1109" s="151"/>
      <c r="EP1109" s="170"/>
      <c r="EQ1109" s="151"/>
      <c r="ER1109" s="170"/>
      <c r="ES1109" s="151"/>
      <c r="ET1109" s="170"/>
      <c r="EU1109" s="151"/>
      <c r="EV1109" s="170"/>
      <c r="EW1109" s="151"/>
      <c r="EX1109" s="170"/>
      <c r="EY1109" s="151"/>
      <c r="EZ1109" s="170"/>
      <c r="FA1109" s="151"/>
      <c r="FB1109" s="170"/>
      <c r="FC1109" s="151"/>
      <c r="FD1109" s="170"/>
      <c r="FE1109" s="151"/>
      <c r="FF1109" s="170"/>
      <c r="FG1109" s="151"/>
      <c r="FH1109" s="170"/>
      <c r="FI1109" s="151"/>
      <c r="FJ1109" s="170"/>
      <c r="FK1109" s="151"/>
      <c r="FL1109" s="170"/>
      <c r="FM1109" s="151"/>
      <c r="FN1109" s="170"/>
      <c r="FO1109" s="151"/>
      <c r="FP1109" s="170"/>
      <c r="FQ1109" s="151"/>
      <c r="FR1109" s="170"/>
      <c r="FS1109" s="151"/>
      <c r="FT1109" s="170"/>
      <c r="FU1109" s="151"/>
      <c r="FV1109" s="170"/>
      <c r="FW1109" s="151"/>
      <c r="FX1109" s="170"/>
      <c r="FY1109" s="151"/>
      <c r="FZ1109" s="170"/>
      <c r="GA1109" s="151"/>
      <c r="GB1109" s="170"/>
      <c r="GC1109" s="151"/>
      <c r="GD1109" s="170"/>
      <c r="GE1109" s="151"/>
      <c r="GF1109" s="170"/>
      <c r="GG1109" s="151"/>
      <c r="GH1109" s="170"/>
      <c r="GI1109" s="151"/>
      <c r="GJ1109" s="170"/>
      <c r="GK1109" s="151"/>
      <c r="GL1109" s="170"/>
      <c r="GM1109" s="151"/>
      <c r="GN1109" s="170"/>
      <c r="GO1109" s="151"/>
      <c r="GP1109" s="170"/>
      <c r="GQ1109" s="151"/>
      <c r="GR1109" s="170"/>
      <c r="GS1109" s="151"/>
      <c r="GT1109" s="170"/>
      <c r="GU1109" s="151"/>
      <c r="GV1109" s="170"/>
      <c r="GW1109" s="151"/>
      <c r="GX1109" s="170"/>
      <c r="GY1109" s="151"/>
      <c r="GZ1109" s="170"/>
      <c r="HA1109" s="151"/>
      <c r="HB1109" s="170"/>
      <c r="HC1109" s="151"/>
      <c r="HD1109" s="170"/>
      <c r="HE1109" s="151"/>
      <c r="HF1109" s="170"/>
      <c r="HG1109" s="151"/>
      <c r="HH1109" s="170"/>
      <c r="HI1109" s="151"/>
      <c r="HJ1109" s="170"/>
      <c r="HK1109" s="151"/>
      <c r="HL1109" s="170"/>
      <c r="HM1109" s="151"/>
      <c r="HN1109" s="170"/>
      <c r="HO1109" s="151"/>
      <c r="HP1109" s="170"/>
      <c r="HQ1109" s="151"/>
      <c r="HR1109" s="170"/>
      <c r="HS1109" s="151"/>
      <c r="HT1109" s="170"/>
      <c r="HU1109" s="151"/>
      <c r="HV1109" s="170"/>
      <c r="HW1109" s="151"/>
      <c r="HX1109" s="170"/>
      <c r="HY1109" s="151"/>
      <c r="HZ1109" s="170"/>
      <c r="IA1109" s="151"/>
      <c r="IB1109" s="170"/>
      <c r="IC1109" s="151"/>
      <c r="ID1109" s="170"/>
      <c r="IE1109" s="151"/>
      <c r="IF1109" s="170"/>
      <c r="IG1109" s="151"/>
      <c r="IH1109" s="170"/>
      <c r="II1109" s="151"/>
      <c r="IJ1109" s="170"/>
      <c r="IK1109" s="151"/>
    </row>
    <row r="1110" spans="1:245" ht="12">
      <c r="A1110" s="320"/>
      <c r="B1110" s="170"/>
      <c r="C1110" s="151"/>
      <c r="D1110" s="170"/>
      <c r="E1110" s="151"/>
      <c r="F1110" s="17" t="s">
        <v>268</v>
      </c>
      <c r="G1110" s="20" t="s">
        <v>676</v>
      </c>
      <c r="H1110" s="151"/>
      <c r="I1110" s="400"/>
      <c r="J1110" s="400">
        <f>+J617+J649</f>
        <v>3186000</v>
      </c>
      <c r="K1110" s="400"/>
      <c r="L1110" s="151"/>
      <c r="M1110" s="395"/>
      <c r="N1110" s="395"/>
      <c r="O1110" s="400">
        <f>+O617+O649</f>
        <v>2686000</v>
      </c>
      <c r="P1110" s="395"/>
      <c r="Q1110" s="395"/>
      <c r="R1110" s="444"/>
      <c r="S1110" s="395"/>
      <c r="T1110" s="396"/>
      <c r="U1110" s="151"/>
      <c r="V1110" s="52">
        <f t="shared" si="135"/>
        <v>0</v>
      </c>
      <c r="W1110" s="151"/>
      <c r="X1110" s="170"/>
      <c r="Y1110" s="151"/>
      <c r="Z1110" s="170"/>
      <c r="AA1110" s="151"/>
      <c r="AB1110" s="170"/>
      <c r="AC1110" s="151"/>
      <c r="AD1110" s="170"/>
      <c r="AE1110" s="151"/>
      <c r="AF1110" s="170"/>
      <c r="AG1110" s="151"/>
      <c r="AH1110" s="170"/>
      <c r="AI1110" s="52"/>
      <c r="AJ1110" s="170"/>
      <c r="AK1110" s="151"/>
      <c r="AL1110" s="170"/>
      <c r="AM1110" s="151"/>
      <c r="AN1110" s="170"/>
      <c r="AO1110" s="151"/>
      <c r="AP1110" s="170"/>
      <c r="AQ1110" s="151"/>
      <c r="AR1110" s="170"/>
      <c r="AS1110" s="151"/>
      <c r="AT1110" s="170"/>
      <c r="AU1110" s="151"/>
      <c r="AV1110" s="170"/>
      <c r="AW1110" s="151"/>
      <c r="AX1110" s="170"/>
      <c r="AY1110" s="151"/>
      <c r="AZ1110" s="170"/>
      <c r="BA1110" s="151"/>
      <c r="BB1110" s="170"/>
      <c r="BC1110" s="151"/>
      <c r="BD1110" s="170"/>
      <c r="BE1110" s="151"/>
      <c r="BF1110" s="170"/>
      <c r="BG1110" s="151"/>
      <c r="BH1110" s="170"/>
      <c r="BI1110" s="151"/>
      <c r="BJ1110" s="170"/>
      <c r="BK1110" s="151"/>
      <c r="BL1110" s="170"/>
      <c r="BM1110" s="151"/>
      <c r="BN1110" s="170"/>
      <c r="BO1110" s="151"/>
      <c r="BP1110" s="170"/>
      <c r="BQ1110" s="151"/>
      <c r="BR1110" s="170"/>
      <c r="BS1110" s="151"/>
      <c r="BT1110" s="170"/>
      <c r="BU1110" s="151"/>
      <c r="BV1110" s="170"/>
      <c r="BW1110" s="151"/>
      <c r="BX1110" s="170"/>
      <c r="BY1110" s="151"/>
      <c r="BZ1110" s="170"/>
      <c r="CA1110" s="151"/>
      <c r="CB1110" s="170"/>
      <c r="CC1110" s="151"/>
      <c r="CD1110" s="170"/>
      <c r="CE1110" s="151"/>
      <c r="CF1110" s="170"/>
      <c r="CG1110" s="151"/>
      <c r="CH1110" s="170"/>
      <c r="CI1110" s="151"/>
      <c r="CJ1110" s="170"/>
      <c r="CK1110" s="151"/>
      <c r="CL1110" s="170"/>
      <c r="CM1110" s="151"/>
      <c r="CN1110" s="170"/>
      <c r="CO1110" s="151"/>
      <c r="CP1110" s="170"/>
      <c r="CQ1110" s="151"/>
      <c r="CR1110" s="170"/>
      <c r="CS1110" s="151"/>
      <c r="CT1110" s="170"/>
      <c r="CU1110" s="151"/>
      <c r="CV1110" s="170"/>
      <c r="CW1110" s="151"/>
      <c r="CX1110" s="170"/>
      <c r="CY1110" s="151"/>
      <c r="CZ1110" s="170"/>
      <c r="DA1110" s="151"/>
      <c r="DB1110" s="170"/>
      <c r="DC1110" s="151"/>
      <c r="DD1110" s="170"/>
      <c r="DE1110" s="151"/>
      <c r="DF1110" s="170"/>
      <c r="DG1110" s="151"/>
      <c r="DH1110" s="170"/>
      <c r="DI1110" s="151"/>
      <c r="DJ1110" s="170"/>
      <c r="DK1110" s="151"/>
      <c r="DL1110" s="170"/>
      <c r="DM1110" s="151"/>
      <c r="DN1110" s="170"/>
      <c r="DO1110" s="151"/>
      <c r="DP1110" s="170"/>
      <c r="DQ1110" s="151"/>
      <c r="DR1110" s="170"/>
      <c r="DS1110" s="151"/>
      <c r="DT1110" s="170"/>
      <c r="DU1110" s="151"/>
      <c r="DV1110" s="170"/>
      <c r="DW1110" s="151"/>
      <c r="DX1110" s="170"/>
      <c r="DY1110" s="151"/>
      <c r="DZ1110" s="170"/>
      <c r="EA1110" s="151"/>
      <c r="EB1110" s="170"/>
      <c r="EC1110" s="151"/>
      <c r="ED1110" s="170"/>
      <c r="EE1110" s="151"/>
      <c r="EF1110" s="170"/>
      <c r="EG1110" s="151"/>
      <c r="EH1110" s="170"/>
      <c r="EI1110" s="151"/>
      <c r="EJ1110" s="170"/>
      <c r="EK1110" s="151"/>
      <c r="EL1110" s="170"/>
      <c r="EM1110" s="151"/>
      <c r="EN1110" s="170"/>
      <c r="EO1110" s="151"/>
      <c r="EP1110" s="170"/>
      <c r="EQ1110" s="151"/>
      <c r="ER1110" s="170"/>
      <c r="ES1110" s="151"/>
      <c r="ET1110" s="170"/>
      <c r="EU1110" s="151"/>
      <c r="EV1110" s="170"/>
      <c r="EW1110" s="151"/>
      <c r="EX1110" s="170"/>
      <c r="EY1110" s="151"/>
      <c r="EZ1110" s="170"/>
      <c r="FA1110" s="151"/>
      <c r="FB1110" s="170"/>
      <c r="FC1110" s="151"/>
      <c r="FD1110" s="170"/>
      <c r="FE1110" s="151"/>
      <c r="FF1110" s="170"/>
      <c r="FG1110" s="151"/>
      <c r="FH1110" s="170"/>
      <c r="FI1110" s="151"/>
      <c r="FJ1110" s="170"/>
      <c r="FK1110" s="151"/>
      <c r="FL1110" s="170"/>
      <c r="FM1110" s="151"/>
      <c r="FN1110" s="170"/>
      <c r="FO1110" s="151"/>
      <c r="FP1110" s="170"/>
      <c r="FQ1110" s="151"/>
      <c r="FR1110" s="170"/>
      <c r="FS1110" s="151"/>
      <c r="FT1110" s="170"/>
      <c r="FU1110" s="151"/>
      <c r="FV1110" s="170"/>
      <c r="FW1110" s="151"/>
      <c r="FX1110" s="170"/>
      <c r="FY1110" s="151"/>
      <c r="FZ1110" s="170"/>
      <c r="GA1110" s="151"/>
      <c r="GB1110" s="170"/>
      <c r="GC1110" s="151"/>
      <c r="GD1110" s="170"/>
      <c r="GE1110" s="151"/>
      <c r="GF1110" s="170"/>
      <c r="GG1110" s="151"/>
      <c r="GH1110" s="170"/>
      <c r="GI1110" s="151"/>
      <c r="GJ1110" s="170"/>
      <c r="GK1110" s="151"/>
      <c r="GL1110" s="170"/>
      <c r="GM1110" s="151"/>
      <c r="GN1110" s="170"/>
      <c r="GO1110" s="151"/>
      <c r="GP1110" s="170"/>
      <c r="GQ1110" s="151"/>
      <c r="GR1110" s="170"/>
      <c r="GS1110" s="151"/>
      <c r="GT1110" s="170"/>
      <c r="GU1110" s="151"/>
      <c r="GV1110" s="170"/>
      <c r="GW1110" s="151"/>
      <c r="GX1110" s="170"/>
      <c r="GY1110" s="151"/>
      <c r="GZ1110" s="170"/>
      <c r="HA1110" s="151"/>
      <c r="HB1110" s="170"/>
      <c r="HC1110" s="151"/>
      <c r="HD1110" s="170"/>
      <c r="HE1110" s="151"/>
      <c r="HF1110" s="170"/>
      <c r="HG1110" s="151"/>
      <c r="HH1110" s="170"/>
      <c r="HI1110" s="151"/>
      <c r="HJ1110" s="170"/>
      <c r="HK1110" s="151"/>
      <c r="HL1110" s="170"/>
      <c r="HM1110" s="151"/>
      <c r="HN1110" s="170"/>
      <c r="HO1110" s="151"/>
      <c r="HP1110" s="170"/>
      <c r="HQ1110" s="151"/>
      <c r="HR1110" s="170"/>
      <c r="HS1110" s="151"/>
      <c r="HT1110" s="170"/>
      <c r="HU1110" s="151"/>
      <c r="HV1110" s="170"/>
      <c r="HW1110" s="151"/>
      <c r="HX1110" s="170"/>
      <c r="HY1110" s="151"/>
      <c r="HZ1110" s="170"/>
      <c r="IA1110" s="151"/>
      <c r="IB1110" s="170"/>
      <c r="IC1110" s="151"/>
      <c r="ID1110" s="170"/>
      <c r="IE1110" s="151"/>
      <c r="IF1110" s="170"/>
      <c r="IG1110" s="151"/>
      <c r="IH1110" s="170"/>
      <c r="II1110" s="151"/>
      <c r="IJ1110" s="170"/>
      <c r="IK1110" s="151"/>
    </row>
    <row r="1111" spans="1:245" ht="12">
      <c r="A1111" s="320"/>
      <c r="B1111" s="170"/>
      <c r="C1111" s="151"/>
      <c r="D1111" s="170"/>
      <c r="E1111" s="151"/>
      <c r="F1111" s="17" t="s">
        <v>413</v>
      </c>
      <c r="G1111" s="20" t="s">
        <v>767</v>
      </c>
      <c r="H1111" s="151"/>
      <c r="I1111" s="400"/>
      <c r="J1111" s="400">
        <f>+J618</f>
        <v>400000</v>
      </c>
      <c r="K1111" s="400"/>
      <c r="L1111" s="151"/>
      <c r="M1111" s="395"/>
      <c r="N1111" s="395"/>
      <c r="O1111" s="400">
        <f>+O618</f>
        <v>400000</v>
      </c>
      <c r="P1111" s="395"/>
      <c r="Q1111" s="395"/>
      <c r="R1111" s="444"/>
      <c r="S1111" s="395"/>
      <c r="T1111" s="396"/>
      <c r="U1111" s="151"/>
      <c r="V1111" s="52">
        <f t="shared" si="135"/>
        <v>0</v>
      </c>
      <c r="W1111" s="151"/>
      <c r="X1111" s="170"/>
      <c r="Y1111" s="151"/>
      <c r="Z1111" s="170"/>
      <c r="AA1111" s="151"/>
      <c r="AB1111" s="170"/>
      <c r="AC1111" s="151"/>
      <c r="AD1111" s="170"/>
      <c r="AE1111" s="151"/>
      <c r="AF1111" s="170"/>
      <c r="AG1111" s="151"/>
      <c r="AH1111" s="170"/>
      <c r="AI1111" s="52"/>
      <c r="AJ1111" s="170"/>
      <c r="AK1111" s="151"/>
      <c r="AL1111" s="170"/>
      <c r="AM1111" s="151"/>
      <c r="AN1111" s="170"/>
      <c r="AO1111" s="151"/>
      <c r="AP1111" s="170"/>
      <c r="AQ1111" s="151"/>
      <c r="AR1111" s="170"/>
      <c r="AS1111" s="151"/>
      <c r="AT1111" s="170"/>
      <c r="AU1111" s="151"/>
      <c r="AV1111" s="170"/>
      <c r="AW1111" s="151"/>
      <c r="AX1111" s="170"/>
      <c r="AY1111" s="151"/>
      <c r="AZ1111" s="170"/>
      <c r="BA1111" s="151"/>
      <c r="BB1111" s="170"/>
      <c r="BC1111" s="151"/>
      <c r="BD1111" s="170"/>
      <c r="BE1111" s="151"/>
      <c r="BF1111" s="170"/>
      <c r="BG1111" s="151"/>
      <c r="BH1111" s="170"/>
      <c r="BI1111" s="151"/>
      <c r="BJ1111" s="170"/>
      <c r="BK1111" s="151"/>
      <c r="BL1111" s="170"/>
      <c r="BM1111" s="151"/>
      <c r="BN1111" s="170"/>
      <c r="BO1111" s="151"/>
      <c r="BP1111" s="170"/>
      <c r="BQ1111" s="151"/>
      <c r="BR1111" s="170"/>
      <c r="BS1111" s="151"/>
      <c r="BT1111" s="170"/>
      <c r="BU1111" s="151"/>
      <c r="BV1111" s="170"/>
      <c r="BW1111" s="151"/>
      <c r="BX1111" s="170"/>
      <c r="BY1111" s="151"/>
      <c r="BZ1111" s="170"/>
      <c r="CA1111" s="151"/>
      <c r="CB1111" s="170"/>
      <c r="CC1111" s="151"/>
      <c r="CD1111" s="170"/>
      <c r="CE1111" s="151"/>
      <c r="CF1111" s="170"/>
      <c r="CG1111" s="151"/>
      <c r="CH1111" s="170"/>
      <c r="CI1111" s="151"/>
      <c r="CJ1111" s="170"/>
      <c r="CK1111" s="151"/>
      <c r="CL1111" s="170"/>
      <c r="CM1111" s="151"/>
      <c r="CN1111" s="170"/>
      <c r="CO1111" s="151"/>
      <c r="CP1111" s="170"/>
      <c r="CQ1111" s="151"/>
      <c r="CR1111" s="170"/>
      <c r="CS1111" s="151"/>
      <c r="CT1111" s="170"/>
      <c r="CU1111" s="151"/>
      <c r="CV1111" s="170"/>
      <c r="CW1111" s="151"/>
      <c r="CX1111" s="170"/>
      <c r="CY1111" s="151"/>
      <c r="CZ1111" s="170"/>
      <c r="DA1111" s="151"/>
      <c r="DB1111" s="170"/>
      <c r="DC1111" s="151"/>
      <c r="DD1111" s="170"/>
      <c r="DE1111" s="151"/>
      <c r="DF1111" s="170"/>
      <c r="DG1111" s="151"/>
      <c r="DH1111" s="170"/>
      <c r="DI1111" s="151"/>
      <c r="DJ1111" s="170"/>
      <c r="DK1111" s="151"/>
      <c r="DL1111" s="170"/>
      <c r="DM1111" s="151"/>
      <c r="DN1111" s="170"/>
      <c r="DO1111" s="151"/>
      <c r="DP1111" s="170"/>
      <c r="DQ1111" s="151"/>
      <c r="DR1111" s="170"/>
      <c r="DS1111" s="151"/>
      <c r="DT1111" s="170"/>
      <c r="DU1111" s="151"/>
      <c r="DV1111" s="170"/>
      <c r="DW1111" s="151"/>
      <c r="DX1111" s="170"/>
      <c r="DY1111" s="151"/>
      <c r="DZ1111" s="170"/>
      <c r="EA1111" s="151"/>
      <c r="EB1111" s="170"/>
      <c r="EC1111" s="151"/>
      <c r="ED1111" s="170"/>
      <c r="EE1111" s="151"/>
      <c r="EF1111" s="170"/>
      <c r="EG1111" s="151"/>
      <c r="EH1111" s="170"/>
      <c r="EI1111" s="151"/>
      <c r="EJ1111" s="170"/>
      <c r="EK1111" s="151"/>
      <c r="EL1111" s="170"/>
      <c r="EM1111" s="151"/>
      <c r="EN1111" s="170"/>
      <c r="EO1111" s="151"/>
      <c r="EP1111" s="170"/>
      <c r="EQ1111" s="151"/>
      <c r="ER1111" s="170"/>
      <c r="ES1111" s="151"/>
      <c r="ET1111" s="170"/>
      <c r="EU1111" s="151"/>
      <c r="EV1111" s="170"/>
      <c r="EW1111" s="151"/>
      <c r="EX1111" s="170"/>
      <c r="EY1111" s="151"/>
      <c r="EZ1111" s="170"/>
      <c r="FA1111" s="151"/>
      <c r="FB1111" s="170"/>
      <c r="FC1111" s="151"/>
      <c r="FD1111" s="170"/>
      <c r="FE1111" s="151"/>
      <c r="FF1111" s="170"/>
      <c r="FG1111" s="151"/>
      <c r="FH1111" s="170"/>
      <c r="FI1111" s="151"/>
      <c r="FJ1111" s="170"/>
      <c r="FK1111" s="151"/>
      <c r="FL1111" s="170"/>
      <c r="FM1111" s="151"/>
      <c r="FN1111" s="170"/>
      <c r="FO1111" s="151"/>
      <c r="FP1111" s="170"/>
      <c r="FQ1111" s="151"/>
      <c r="FR1111" s="170"/>
      <c r="FS1111" s="151"/>
      <c r="FT1111" s="170"/>
      <c r="FU1111" s="151"/>
      <c r="FV1111" s="170"/>
      <c r="FW1111" s="151"/>
      <c r="FX1111" s="170"/>
      <c r="FY1111" s="151"/>
      <c r="FZ1111" s="170"/>
      <c r="GA1111" s="151"/>
      <c r="GB1111" s="170"/>
      <c r="GC1111" s="151"/>
      <c r="GD1111" s="170"/>
      <c r="GE1111" s="151"/>
      <c r="GF1111" s="170"/>
      <c r="GG1111" s="151"/>
      <c r="GH1111" s="170"/>
      <c r="GI1111" s="151"/>
      <c r="GJ1111" s="170"/>
      <c r="GK1111" s="151"/>
      <c r="GL1111" s="170"/>
      <c r="GM1111" s="151"/>
      <c r="GN1111" s="170"/>
      <c r="GO1111" s="151"/>
      <c r="GP1111" s="170"/>
      <c r="GQ1111" s="151"/>
      <c r="GR1111" s="170"/>
      <c r="GS1111" s="151"/>
      <c r="GT1111" s="170"/>
      <c r="GU1111" s="151"/>
      <c r="GV1111" s="170"/>
      <c r="GW1111" s="151"/>
      <c r="GX1111" s="170"/>
      <c r="GY1111" s="151"/>
      <c r="GZ1111" s="170"/>
      <c r="HA1111" s="151"/>
      <c r="HB1111" s="170"/>
      <c r="HC1111" s="151"/>
      <c r="HD1111" s="170"/>
      <c r="HE1111" s="151"/>
      <c r="HF1111" s="170"/>
      <c r="HG1111" s="151"/>
      <c r="HH1111" s="170"/>
      <c r="HI1111" s="151"/>
      <c r="HJ1111" s="170"/>
      <c r="HK1111" s="151"/>
      <c r="HL1111" s="170"/>
      <c r="HM1111" s="151"/>
      <c r="HN1111" s="170"/>
      <c r="HO1111" s="151"/>
      <c r="HP1111" s="170"/>
      <c r="HQ1111" s="151"/>
      <c r="HR1111" s="170"/>
      <c r="HS1111" s="151"/>
      <c r="HT1111" s="170"/>
      <c r="HU1111" s="151"/>
      <c r="HV1111" s="170"/>
      <c r="HW1111" s="151"/>
      <c r="HX1111" s="170"/>
      <c r="HY1111" s="151"/>
      <c r="HZ1111" s="170"/>
      <c r="IA1111" s="151"/>
      <c r="IB1111" s="170"/>
      <c r="IC1111" s="151"/>
      <c r="ID1111" s="170"/>
      <c r="IE1111" s="151"/>
      <c r="IF1111" s="170"/>
      <c r="IG1111" s="151"/>
      <c r="IH1111" s="170"/>
      <c r="II1111" s="151"/>
      <c r="IJ1111" s="170"/>
      <c r="IK1111" s="151"/>
    </row>
    <row r="1112" spans="1:35" ht="12">
      <c r="A1112" s="144"/>
      <c r="B1112" s="71"/>
      <c r="C1112" s="71"/>
      <c r="D1112" s="71"/>
      <c r="E1112" s="71"/>
      <c r="F1112" s="1" t="s">
        <v>930</v>
      </c>
      <c r="G1112" s="71"/>
      <c r="H1112" s="62"/>
      <c r="I1112" s="71"/>
      <c r="J1112" s="390"/>
      <c r="K1112" s="390"/>
      <c r="L1112" s="71"/>
      <c r="M1112" s="62"/>
      <c r="N1112" s="62"/>
      <c r="O1112" s="62"/>
      <c r="P1112" s="62"/>
      <c r="Q1112" s="62"/>
      <c r="R1112" s="439"/>
      <c r="S1112" s="52"/>
      <c r="T1112" s="52"/>
      <c r="V1112" s="52">
        <f t="shared" si="135"/>
        <v>0</v>
      </c>
      <c r="AI1112" s="52"/>
    </row>
    <row r="1113" spans="1:35" ht="12">
      <c r="A1113" s="144"/>
      <c r="B1113" s="71"/>
      <c r="C1113" s="71"/>
      <c r="D1113" s="71"/>
      <c r="E1113" s="71"/>
      <c r="F1113" s="17" t="s">
        <v>73</v>
      </c>
      <c r="G1113" s="20" t="s">
        <v>674</v>
      </c>
      <c r="H1113" s="62">
        <f>+H381</f>
        <v>1000000</v>
      </c>
      <c r="I1113" s="71"/>
      <c r="J1113" s="390"/>
      <c r="K1113" s="390"/>
      <c r="L1113" s="71"/>
      <c r="M1113" s="62">
        <f>+M381</f>
        <v>880000</v>
      </c>
      <c r="N1113" s="62"/>
      <c r="O1113" s="62"/>
      <c r="P1113" s="62"/>
      <c r="Q1113" s="62"/>
      <c r="R1113" s="439"/>
      <c r="S1113" s="52"/>
      <c r="T1113" s="52"/>
      <c r="V1113" s="52">
        <f aca="true" t="shared" si="136" ref="V1113:V1129">+H1113-(M1113+Q1113)</f>
        <v>120000</v>
      </c>
      <c r="AI1113" s="52"/>
    </row>
    <row r="1114" spans="1:35" ht="12">
      <c r="A1114" s="144"/>
      <c r="B1114" s="71"/>
      <c r="C1114" s="71"/>
      <c r="D1114" s="71"/>
      <c r="E1114" s="71"/>
      <c r="F1114" s="1" t="s">
        <v>941</v>
      </c>
      <c r="G1114" s="71"/>
      <c r="H1114" s="62"/>
      <c r="I1114" s="71"/>
      <c r="J1114" s="390"/>
      <c r="K1114" s="390"/>
      <c r="L1114" s="71"/>
      <c r="M1114" s="62"/>
      <c r="N1114" s="62"/>
      <c r="O1114" s="62"/>
      <c r="P1114" s="62"/>
      <c r="Q1114" s="62"/>
      <c r="R1114" s="439"/>
      <c r="S1114" s="52"/>
      <c r="T1114" s="52"/>
      <c r="V1114" s="52">
        <f t="shared" si="136"/>
        <v>0</v>
      </c>
      <c r="AI1114" s="52"/>
    </row>
    <row r="1115" spans="1:35" ht="12">
      <c r="A1115" s="144"/>
      <c r="B1115" s="71"/>
      <c r="C1115" s="71"/>
      <c r="D1115" s="71"/>
      <c r="E1115" s="71"/>
      <c r="F1115" s="17" t="s">
        <v>73</v>
      </c>
      <c r="G1115" s="20" t="s">
        <v>674</v>
      </c>
      <c r="H1115" s="62">
        <f>+H315</f>
        <v>500000</v>
      </c>
      <c r="I1115" s="71"/>
      <c r="J1115" s="390"/>
      <c r="K1115" s="390"/>
      <c r="L1115" s="71"/>
      <c r="M1115" s="62">
        <f>+M315</f>
        <v>500000</v>
      </c>
      <c r="N1115" s="62"/>
      <c r="O1115" s="62"/>
      <c r="P1115" s="62"/>
      <c r="Q1115" s="62"/>
      <c r="R1115" s="439"/>
      <c r="S1115" s="52"/>
      <c r="T1115" s="52"/>
      <c r="V1115" s="52">
        <f t="shared" si="136"/>
        <v>0</v>
      </c>
      <c r="AI1115" s="52"/>
    </row>
    <row r="1116" spans="1:35" ht="12">
      <c r="A1116" s="144"/>
      <c r="B1116" s="71"/>
      <c r="C1116" s="71"/>
      <c r="D1116" s="71"/>
      <c r="E1116" s="71"/>
      <c r="F1116" s="1" t="s">
        <v>931</v>
      </c>
      <c r="G1116" s="71"/>
      <c r="H1116" s="62"/>
      <c r="I1116" s="71"/>
      <c r="J1116" s="390"/>
      <c r="K1116" s="390"/>
      <c r="L1116" s="71"/>
      <c r="M1116" s="62"/>
      <c r="N1116" s="62"/>
      <c r="O1116" s="62"/>
      <c r="P1116" s="62"/>
      <c r="Q1116" s="62"/>
      <c r="R1116" s="439"/>
      <c r="S1116" s="52"/>
      <c r="T1116" s="52"/>
      <c r="V1116" s="52">
        <f t="shared" si="136"/>
        <v>0</v>
      </c>
      <c r="AI1116" s="52"/>
    </row>
    <row r="1117" spans="1:35" ht="12">
      <c r="A1117" s="144"/>
      <c r="B1117" s="71"/>
      <c r="C1117" s="71"/>
      <c r="D1117" s="71"/>
      <c r="E1117" s="71"/>
      <c r="F1117" s="17" t="s">
        <v>73</v>
      </c>
      <c r="G1117" s="20" t="s">
        <v>674</v>
      </c>
      <c r="H1117" s="62">
        <f>+H326</f>
        <v>1043025</v>
      </c>
      <c r="I1117" s="71"/>
      <c r="J1117" s="390"/>
      <c r="K1117" s="390"/>
      <c r="L1117" s="71"/>
      <c r="M1117" s="62">
        <f>+M326</f>
        <v>773025</v>
      </c>
      <c r="N1117" s="62"/>
      <c r="O1117" s="62"/>
      <c r="P1117" s="62"/>
      <c r="Q1117" s="62"/>
      <c r="R1117" s="439"/>
      <c r="S1117" s="52"/>
      <c r="T1117" s="52"/>
      <c r="V1117" s="52">
        <f t="shared" si="136"/>
        <v>270000</v>
      </c>
      <c r="AI1117" s="52"/>
    </row>
    <row r="1118" spans="1:35" ht="12">
      <c r="A1118" s="144"/>
      <c r="B1118" s="71"/>
      <c r="C1118" s="71"/>
      <c r="D1118" s="71"/>
      <c r="E1118" s="71"/>
      <c r="F1118" s="1" t="s">
        <v>932</v>
      </c>
      <c r="G1118" s="71"/>
      <c r="H1118" s="62"/>
      <c r="I1118" s="71"/>
      <c r="J1118" s="390"/>
      <c r="K1118" s="390"/>
      <c r="L1118" s="71"/>
      <c r="M1118" s="62"/>
      <c r="N1118" s="62"/>
      <c r="O1118" s="62"/>
      <c r="P1118" s="62"/>
      <c r="Q1118" s="62"/>
      <c r="R1118" s="439"/>
      <c r="S1118" s="52"/>
      <c r="T1118" s="52"/>
      <c r="V1118" s="52">
        <f t="shared" si="136"/>
        <v>0</v>
      </c>
      <c r="AI1118" s="52"/>
    </row>
    <row r="1119" spans="1:35" ht="12">
      <c r="A1119" s="144"/>
      <c r="B1119" s="71"/>
      <c r="C1119" s="71"/>
      <c r="D1119" s="71"/>
      <c r="E1119" s="71"/>
      <c r="F1119" s="17" t="s">
        <v>73</v>
      </c>
      <c r="G1119" s="20" t="s">
        <v>674</v>
      </c>
      <c r="H1119" s="62">
        <f>+H506+H318</f>
        <v>49780840.47</v>
      </c>
      <c r="I1119" s="71"/>
      <c r="J1119" s="390"/>
      <c r="K1119" s="390"/>
      <c r="L1119" s="71"/>
      <c r="M1119" s="62">
        <f>+M506+M318</f>
        <v>34978218.19</v>
      </c>
      <c r="N1119" s="62"/>
      <c r="O1119" s="62"/>
      <c r="P1119" s="62"/>
      <c r="Q1119" s="62"/>
      <c r="R1119" s="439"/>
      <c r="S1119" s="52"/>
      <c r="T1119" s="52"/>
      <c r="V1119" s="52">
        <f t="shared" si="136"/>
        <v>14802622.280000001</v>
      </c>
      <c r="AI1119" s="52"/>
    </row>
    <row r="1120" spans="1:35" ht="12">
      <c r="A1120" s="144"/>
      <c r="B1120" s="71"/>
      <c r="C1120" s="71"/>
      <c r="D1120" s="71"/>
      <c r="E1120" s="71"/>
      <c r="F1120" s="151" t="s">
        <v>413</v>
      </c>
      <c r="G1120" s="20" t="s">
        <v>767</v>
      </c>
      <c r="H1120" s="62"/>
      <c r="I1120" s="71"/>
      <c r="J1120" s="390">
        <f>+J319</f>
        <v>930000</v>
      </c>
      <c r="K1120" s="390"/>
      <c r="L1120" s="71"/>
      <c r="M1120" s="62"/>
      <c r="N1120" s="62"/>
      <c r="O1120" s="62">
        <f>+O319</f>
        <v>930000</v>
      </c>
      <c r="P1120" s="62"/>
      <c r="Q1120" s="62"/>
      <c r="R1120" s="439"/>
      <c r="S1120" s="52"/>
      <c r="T1120" s="52"/>
      <c r="V1120" s="52">
        <f t="shared" si="136"/>
        <v>0</v>
      </c>
      <c r="AI1120" s="52"/>
    </row>
    <row r="1121" spans="1:35" ht="12">
      <c r="A1121" s="144"/>
      <c r="B1121" s="71"/>
      <c r="C1121" s="71"/>
      <c r="D1121" s="71"/>
      <c r="E1121" s="71"/>
      <c r="F1121" s="1" t="s">
        <v>942</v>
      </c>
      <c r="G1121" s="71"/>
      <c r="H1121" s="62"/>
      <c r="I1121" s="71"/>
      <c r="J1121" s="390"/>
      <c r="K1121" s="390"/>
      <c r="L1121" s="71"/>
      <c r="M1121" s="62"/>
      <c r="N1121" s="62"/>
      <c r="O1121" s="62"/>
      <c r="P1121" s="62"/>
      <c r="Q1121" s="62"/>
      <c r="R1121" s="439"/>
      <c r="S1121" s="52"/>
      <c r="T1121" s="52"/>
      <c r="V1121" s="52">
        <f t="shared" si="136"/>
        <v>0</v>
      </c>
      <c r="AI1121" s="52"/>
    </row>
    <row r="1122" spans="1:35" ht="12">
      <c r="A1122" s="144"/>
      <c r="B1122" s="71"/>
      <c r="C1122" s="71"/>
      <c r="D1122" s="71"/>
      <c r="E1122" s="71"/>
      <c r="F1122" s="151" t="s">
        <v>73</v>
      </c>
      <c r="G1122" s="20" t="s">
        <v>674</v>
      </c>
      <c r="H1122" s="62">
        <f>+H678</f>
        <v>80102305</v>
      </c>
      <c r="I1122" s="71"/>
      <c r="J1122" s="390"/>
      <c r="K1122" s="390"/>
      <c r="L1122" s="71"/>
      <c r="M1122" s="62">
        <f>+M678</f>
        <v>75776335.46</v>
      </c>
      <c r="N1122" s="62"/>
      <c r="O1122" s="62"/>
      <c r="P1122" s="62"/>
      <c r="Q1122" s="62"/>
      <c r="R1122" s="439"/>
      <c r="S1122" s="52"/>
      <c r="T1122" s="52"/>
      <c r="V1122" s="52">
        <f t="shared" si="136"/>
        <v>4325969.540000007</v>
      </c>
      <c r="AI1122" s="52"/>
    </row>
    <row r="1123" spans="1:35" ht="12">
      <c r="A1123" s="144"/>
      <c r="B1123" s="71"/>
      <c r="C1123" s="71"/>
      <c r="D1123" s="71"/>
      <c r="E1123" s="71"/>
      <c r="F1123" s="151" t="s">
        <v>57</v>
      </c>
      <c r="G1123" s="170" t="s">
        <v>881</v>
      </c>
      <c r="H1123" s="62"/>
      <c r="I1123" s="62">
        <f>+I679</f>
        <v>26541000</v>
      </c>
      <c r="J1123" s="62"/>
      <c r="K1123" s="62"/>
      <c r="L1123" s="62"/>
      <c r="M1123" s="62"/>
      <c r="N1123" s="62">
        <f>+N679</f>
        <v>23550239.970000006</v>
      </c>
      <c r="O1123" s="62"/>
      <c r="P1123" s="62"/>
      <c r="Q1123" s="62"/>
      <c r="R1123" s="439"/>
      <c r="S1123" s="52"/>
      <c r="T1123" s="52"/>
      <c r="V1123" s="52">
        <f t="shared" si="136"/>
        <v>0</v>
      </c>
      <c r="AI1123" s="52"/>
    </row>
    <row r="1124" spans="1:35" ht="12">
      <c r="A1124" s="144"/>
      <c r="B1124" s="71"/>
      <c r="C1124" s="71"/>
      <c r="D1124" s="71"/>
      <c r="E1124" s="71"/>
      <c r="F1124" s="17" t="s">
        <v>268</v>
      </c>
      <c r="G1124" s="20" t="s">
        <v>676</v>
      </c>
      <c r="H1124" s="62"/>
      <c r="I1124" s="62"/>
      <c r="J1124" s="62">
        <f>+J680</f>
        <v>3000000</v>
      </c>
      <c r="K1124" s="62"/>
      <c r="L1124" s="71"/>
      <c r="M1124" s="62"/>
      <c r="N1124" s="62"/>
      <c r="O1124" s="62">
        <f>+O680</f>
        <v>0</v>
      </c>
      <c r="P1124" s="62"/>
      <c r="Q1124" s="62"/>
      <c r="R1124" s="439"/>
      <c r="S1124" s="52"/>
      <c r="T1124" s="52"/>
      <c r="V1124" s="52">
        <f t="shared" si="136"/>
        <v>0</v>
      </c>
      <c r="AI1124" s="52"/>
    </row>
    <row r="1125" spans="1:35" ht="12">
      <c r="A1125" s="144"/>
      <c r="B1125" s="71"/>
      <c r="C1125" s="71"/>
      <c r="D1125" s="71"/>
      <c r="E1125" s="71"/>
      <c r="F1125" s="1" t="s">
        <v>933</v>
      </c>
      <c r="G1125" s="71"/>
      <c r="H1125" s="62"/>
      <c r="I1125" s="71"/>
      <c r="J1125" s="390"/>
      <c r="K1125" s="390"/>
      <c r="L1125" s="71"/>
      <c r="M1125" s="62"/>
      <c r="N1125" s="62"/>
      <c r="O1125" s="62"/>
      <c r="P1125" s="62"/>
      <c r="Q1125" s="62"/>
      <c r="R1125" s="439"/>
      <c r="S1125" s="52"/>
      <c r="T1125" s="52"/>
      <c r="V1125" s="52">
        <f t="shared" si="136"/>
        <v>0</v>
      </c>
      <c r="AI1125" s="52"/>
    </row>
    <row r="1126" spans="1:35" ht="12">
      <c r="A1126" s="144"/>
      <c r="B1126" s="71"/>
      <c r="C1126" s="71"/>
      <c r="D1126" s="71"/>
      <c r="E1126" s="71"/>
      <c r="F1126" s="17" t="s">
        <v>73</v>
      </c>
      <c r="G1126" s="20" t="s">
        <v>674</v>
      </c>
      <c r="H1126" s="62">
        <f>+H322+H517</f>
        <v>17796000</v>
      </c>
      <c r="I1126" s="71"/>
      <c r="J1126" s="390"/>
      <c r="K1126" s="390"/>
      <c r="L1126" s="71"/>
      <c r="M1126" s="62">
        <f>+M322+M517</f>
        <v>13235529</v>
      </c>
      <c r="N1126" s="62"/>
      <c r="O1126" s="62"/>
      <c r="P1126" s="62"/>
      <c r="Q1126" s="62"/>
      <c r="R1126" s="439"/>
      <c r="S1126" s="52"/>
      <c r="T1126" s="52"/>
      <c r="V1126" s="52">
        <f t="shared" si="136"/>
        <v>4560471</v>
      </c>
      <c r="AI1126" s="52"/>
    </row>
    <row r="1127" spans="1:35" ht="12">
      <c r="A1127" s="68"/>
      <c r="B1127" s="68"/>
      <c r="C1127" s="68"/>
      <c r="D1127" s="68"/>
      <c r="E1127" s="68"/>
      <c r="F1127" s="21" t="s">
        <v>413</v>
      </c>
      <c r="G1127" s="23" t="s">
        <v>767</v>
      </c>
      <c r="H1127" s="53"/>
      <c r="I1127" s="68"/>
      <c r="J1127" s="391">
        <f>+J251</f>
        <v>570000</v>
      </c>
      <c r="K1127" s="391"/>
      <c r="L1127" s="68"/>
      <c r="M1127" s="62"/>
      <c r="N1127" s="62"/>
      <c r="O1127" s="62">
        <f>+O251</f>
        <v>570000</v>
      </c>
      <c r="P1127" s="62"/>
      <c r="Q1127" s="62"/>
      <c r="R1127" s="439"/>
      <c r="S1127" s="52"/>
      <c r="T1127" s="52"/>
      <c r="V1127" s="52">
        <f t="shared" si="136"/>
        <v>0</v>
      </c>
      <c r="AI1127" s="52"/>
    </row>
    <row r="1128" spans="1:35" ht="12">
      <c r="A1128" s="144"/>
      <c r="B1128" s="71"/>
      <c r="C1128" s="71"/>
      <c r="D1128" s="71"/>
      <c r="E1128" s="71"/>
      <c r="F1128" s="118"/>
      <c r="G1128" s="71"/>
      <c r="H1128" s="71"/>
      <c r="I1128" s="71"/>
      <c r="J1128" s="390"/>
      <c r="K1128" s="390"/>
      <c r="L1128" s="71"/>
      <c r="M1128" s="55"/>
      <c r="N1128" s="55"/>
      <c r="O1128" s="55"/>
      <c r="P1128" s="55"/>
      <c r="Q1128" s="55"/>
      <c r="R1128" s="441"/>
      <c r="S1128" s="52"/>
      <c r="T1128" s="52"/>
      <c r="V1128" s="52">
        <f t="shared" si="136"/>
        <v>0</v>
      </c>
      <c r="AI1128" s="52"/>
    </row>
    <row r="1129" spans="1:35" s="71" customFormat="1" ht="12.75" thickBot="1">
      <c r="A1129" s="321"/>
      <c r="B1129" s="322"/>
      <c r="C1129" s="322"/>
      <c r="D1129" s="322"/>
      <c r="E1129" s="77" t="s">
        <v>574</v>
      </c>
      <c r="F1129" s="323"/>
      <c r="G1129" s="77"/>
      <c r="H1129" s="431">
        <f aca="true" t="shared" si="137" ref="H1129:Q1129">+H108+H166+H189+H1041</f>
        <v>823403773.4</v>
      </c>
      <c r="I1129" s="431">
        <f t="shared" si="137"/>
        <v>62287000</v>
      </c>
      <c r="J1129" s="431">
        <f t="shared" si="137"/>
        <v>88499476.46000001</v>
      </c>
      <c r="K1129" s="431">
        <f>+K108+K166+K189+K1041</f>
        <v>72634661</v>
      </c>
      <c r="L1129" s="431">
        <f t="shared" si="137"/>
        <v>1046811348.86</v>
      </c>
      <c r="M1129" s="64">
        <f t="shared" si="137"/>
        <v>657333703.33</v>
      </c>
      <c r="N1129" s="64">
        <f t="shared" si="137"/>
        <v>39067437.71000001</v>
      </c>
      <c r="O1129" s="64">
        <f t="shared" si="137"/>
        <v>42054451.82</v>
      </c>
      <c r="P1129" s="64">
        <f t="shared" si="137"/>
        <v>29301266.91</v>
      </c>
      <c r="Q1129" s="64">
        <f t="shared" si="137"/>
        <v>65839831.410000004</v>
      </c>
      <c r="R1129" s="445">
        <f>+M1129/H1129*100</f>
        <v>79.83127167558837</v>
      </c>
      <c r="S1129" s="62"/>
      <c r="T1129" s="62"/>
      <c r="V1129" s="52">
        <f t="shared" si="136"/>
        <v>100230238.65999997</v>
      </c>
      <c r="Y1129" s="62"/>
      <c r="Z1129" s="62"/>
      <c r="AB1129" s="62"/>
      <c r="AI1129" s="52"/>
    </row>
    <row r="1130" spans="8:35" ht="12.75" thickTop="1"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AI1130" s="52"/>
    </row>
    <row r="1131" spans="1:35" ht="12">
      <c r="A1131" s="545" t="s">
        <v>944</v>
      </c>
      <c r="B1131" s="545"/>
      <c r="C1131" s="545"/>
      <c r="D1131" s="545"/>
      <c r="E1131" s="545"/>
      <c r="F1131" s="545"/>
      <c r="G1131" s="545"/>
      <c r="H1131" s="545"/>
      <c r="I1131" s="545"/>
      <c r="J1131" s="545"/>
      <c r="K1131" s="545"/>
      <c r="L1131" s="545"/>
      <c r="M1131" s="545"/>
      <c r="N1131" s="545"/>
      <c r="O1131" s="545"/>
      <c r="P1131" s="545"/>
      <c r="Q1131" s="545"/>
      <c r="R1131" s="545"/>
      <c r="S1131" s="52"/>
      <c r="T1131" s="52"/>
      <c r="AI1131" s="52"/>
    </row>
    <row r="1132" spans="1:35" ht="12">
      <c r="A1132" s="545" t="s">
        <v>943</v>
      </c>
      <c r="B1132" s="544"/>
      <c r="C1132" s="544"/>
      <c r="D1132" s="544"/>
      <c r="E1132" s="544"/>
      <c r="F1132" s="544"/>
      <c r="G1132" s="544"/>
      <c r="H1132" s="544"/>
      <c r="I1132" s="544"/>
      <c r="J1132" s="544"/>
      <c r="K1132" s="544"/>
      <c r="L1132" s="544"/>
      <c r="M1132" s="544"/>
      <c r="N1132" s="544"/>
      <c r="O1132" s="544"/>
      <c r="P1132" s="544"/>
      <c r="Q1132" s="544"/>
      <c r="R1132" s="544"/>
      <c r="S1132" s="52"/>
      <c r="T1132" s="52"/>
      <c r="AI1132" s="52"/>
    </row>
    <row r="1133" spans="1:35" ht="12.75" customHeight="1">
      <c r="A1133" s="544" t="s">
        <v>945</v>
      </c>
      <c r="B1133" s="544"/>
      <c r="C1133" s="544"/>
      <c r="D1133" s="544"/>
      <c r="E1133" s="544"/>
      <c r="H1133" s="67"/>
      <c r="L1133" s="67"/>
      <c r="M1133" s="67"/>
      <c r="N1133" s="67"/>
      <c r="O1133" s="52"/>
      <c r="P1133" s="52"/>
      <c r="Q1133" s="52"/>
      <c r="S1133" s="52"/>
      <c r="T1133" s="52"/>
      <c r="AI1133" s="52"/>
    </row>
    <row r="1134" spans="3:35" ht="12">
      <c r="C1134" s="66" t="s">
        <v>952</v>
      </c>
      <c r="L1134" s="67"/>
      <c r="M1134" s="67"/>
      <c r="N1134" s="67"/>
      <c r="O1134" s="52"/>
      <c r="P1134" s="52"/>
      <c r="Q1134" s="52"/>
      <c r="S1134" s="52"/>
      <c r="T1134" s="52"/>
      <c r="AI1134" s="52"/>
    </row>
    <row r="1135" spans="12:35" ht="12">
      <c r="L1135" s="67"/>
      <c r="M1135" s="67"/>
      <c r="N1135" s="67"/>
      <c r="O1135" s="52"/>
      <c r="P1135" s="52"/>
      <c r="Q1135" s="52"/>
      <c r="S1135" s="52"/>
      <c r="T1135" s="52"/>
      <c r="AI1135" s="52"/>
    </row>
    <row r="1136" spans="12:35" ht="12">
      <c r="L1136" s="67"/>
      <c r="M1136" s="67"/>
      <c r="N1136" s="67"/>
      <c r="O1136" s="52"/>
      <c r="P1136" s="52"/>
      <c r="Q1136" s="52"/>
      <c r="S1136" s="52"/>
      <c r="T1136" s="52"/>
      <c r="AI1136" s="52"/>
    </row>
    <row r="1137" spans="2:35" ht="12">
      <c r="B1137" s="544" t="s">
        <v>947</v>
      </c>
      <c r="C1137" s="544"/>
      <c r="D1137" s="544"/>
      <c r="L1137" s="67"/>
      <c r="M1137" s="67"/>
      <c r="N1137" s="67"/>
      <c r="O1137" s="52"/>
      <c r="P1137" s="52"/>
      <c r="Q1137" s="52"/>
      <c r="S1137" s="52"/>
      <c r="T1137" s="52"/>
      <c r="AI1137" s="52"/>
    </row>
    <row r="1138" spans="2:35" ht="12">
      <c r="B1138" s="544" t="s">
        <v>950</v>
      </c>
      <c r="C1138" s="544"/>
      <c r="D1138" s="544"/>
      <c r="L1138" s="67"/>
      <c r="M1138" s="67"/>
      <c r="N1138" s="67"/>
      <c r="O1138" s="52"/>
      <c r="P1138" s="52"/>
      <c r="Q1138" s="52"/>
      <c r="S1138" s="52"/>
      <c r="T1138" s="52"/>
      <c r="AI1138" s="52"/>
    </row>
    <row r="1139" spans="12:35" ht="11.25" customHeight="1">
      <c r="L1139" s="67"/>
      <c r="M1139" s="67"/>
      <c r="N1139" s="67"/>
      <c r="O1139" s="52"/>
      <c r="P1139" s="52"/>
      <c r="Q1139" s="52"/>
      <c r="S1139" s="52"/>
      <c r="T1139" s="52"/>
      <c r="AI1139" s="52"/>
    </row>
    <row r="1140" spans="13:35" ht="12">
      <c r="M1140" s="52"/>
      <c r="N1140" s="546" t="s">
        <v>946</v>
      </c>
      <c r="O1140" s="546"/>
      <c r="P1140" s="546"/>
      <c r="Q1140" s="52"/>
      <c r="S1140" s="52"/>
      <c r="T1140" s="52"/>
      <c r="AI1140" s="52"/>
    </row>
    <row r="1141" spans="2:35" ht="12">
      <c r="B1141" s="544" t="s">
        <v>948</v>
      </c>
      <c r="C1141" s="544"/>
      <c r="D1141" s="544"/>
      <c r="M1141" s="546" t="s">
        <v>949</v>
      </c>
      <c r="N1141" s="546"/>
      <c r="O1141" s="546"/>
      <c r="P1141" s="546"/>
      <c r="Q1141" s="546"/>
      <c r="R1141" s="546"/>
      <c r="S1141" s="52"/>
      <c r="T1141" s="52"/>
      <c r="AI1141" s="52"/>
    </row>
    <row r="1142" spans="2:35" ht="12.75" customHeight="1">
      <c r="B1142" s="544" t="s">
        <v>951</v>
      </c>
      <c r="C1142" s="544"/>
      <c r="D1142" s="544"/>
      <c r="M1142" s="52"/>
      <c r="N1142" s="546" t="s">
        <v>953</v>
      </c>
      <c r="O1142" s="546"/>
      <c r="P1142" s="546"/>
      <c r="Q1142" s="52"/>
      <c r="S1142" s="52"/>
      <c r="T1142" s="52"/>
      <c r="AI1142" s="52"/>
    </row>
    <row r="1143" spans="8:35" ht="12">
      <c r="H1143" s="67"/>
      <c r="I1143" s="67"/>
      <c r="M1143" s="52"/>
      <c r="N1143" s="52"/>
      <c r="O1143" s="52"/>
      <c r="P1143" s="52"/>
      <c r="Q1143" s="52"/>
      <c r="S1143" s="52"/>
      <c r="T1143" s="52"/>
      <c r="AI1143" s="52"/>
    </row>
    <row r="1144" spans="8:35" ht="12">
      <c r="H1144" s="67"/>
      <c r="I1144" s="67"/>
      <c r="M1144" s="52"/>
      <c r="N1144" s="52"/>
      <c r="O1144" s="52"/>
      <c r="P1144" s="52"/>
      <c r="Q1144" s="52"/>
      <c r="S1144" s="52"/>
      <c r="T1144" s="52"/>
      <c r="AI1144" s="52"/>
    </row>
    <row r="1145" spans="8:35" ht="12">
      <c r="H1145" s="67"/>
      <c r="I1145" s="67"/>
      <c r="M1145" s="52"/>
      <c r="N1145" s="52"/>
      <c r="O1145" s="52"/>
      <c r="P1145" s="52"/>
      <c r="Q1145" s="52"/>
      <c r="S1145" s="52"/>
      <c r="T1145" s="52"/>
      <c r="AI1145" s="52"/>
    </row>
    <row r="1146" spans="8:35" ht="12">
      <c r="H1146" s="67"/>
      <c r="I1146" s="67"/>
      <c r="M1146" s="52"/>
      <c r="N1146" s="52"/>
      <c r="O1146" s="52"/>
      <c r="P1146" s="52"/>
      <c r="Q1146" s="52"/>
      <c r="S1146" s="52"/>
      <c r="T1146" s="52"/>
      <c r="AI1146" s="52"/>
    </row>
    <row r="1147" spans="8:35" ht="12">
      <c r="H1147" s="67"/>
      <c r="I1147" s="67"/>
      <c r="M1147" s="52"/>
      <c r="N1147" s="52"/>
      <c r="O1147" s="52"/>
      <c r="P1147" s="52"/>
      <c r="Q1147" s="52"/>
      <c r="S1147" s="52"/>
      <c r="T1147" s="52"/>
      <c r="AI1147" s="52"/>
    </row>
    <row r="1148" spans="8:35" ht="12">
      <c r="H1148" s="67"/>
      <c r="I1148" s="67"/>
      <c r="M1148" s="52"/>
      <c r="N1148" s="52"/>
      <c r="O1148" s="52"/>
      <c r="P1148" s="52"/>
      <c r="Q1148" s="52"/>
      <c r="S1148" s="52"/>
      <c r="T1148" s="52"/>
      <c r="AI1148" s="52"/>
    </row>
    <row r="1149" spans="8:35" ht="12">
      <c r="H1149" s="67"/>
      <c r="I1149" s="67"/>
      <c r="M1149" s="52"/>
      <c r="N1149" s="52"/>
      <c r="O1149" s="52"/>
      <c r="P1149" s="52"/>
      <c r="Q1149" s="52"/>
      <c r="S1149" s="52"/>
      <c r="T1149" s="52"/>
      <c r="AI1149" s="52"/>
    </row>
    <row r="1150" spans="8:35" ht="12">
      <c r="H1150" s="67"/>
      <c r="I1150" s="67"/>
      <c r="M1150" s="52"/>
      <c r="N1150" s="52"/>
      <c r="O1150" s="52"/>
      <c r="P1150" s="52"/>
      <c r="Q1150" s="52"/>
      <c r="S1150" s="52"/>
      <c r="T1150" s="52"/>
      <c r="AI1150" s="52"/>
    </row>
    <row r="1151" spans="8:35" ht="12">
      <c r="H1151" s="67"/>
      <c r="I1151" s="67"/>
      <c r="M1151" s="52"/>
      <c r="N1151" s="52"/>
      <c r="O1151" s="52"/>
      <c r="P1151" s="52"/>
      <c r="Q1151" s="52"/>
      <c r="S1151" s="52"/>
      <c r="T1151" s="52"/>
      <c r="AI1151" s="52"/>
    </row>
    <row r="1152" spans="8:35" ht="12">
      <c r="H1152" s="67"/>
      <c r="I1152" s="67"/>
      <c r="M1152" s="52"/>
      <c r="N1152" s="52"/>
      <c r="O1152" s="52"/>
      <c r="P1152" s="52"/>
      <c r="Q1152" s="52"/>
      <c r="S1152" s="52"/>
      <c r="T1152" s="52"/>
      <c r="AI1152" s="52"/>
    </row>
    <row r="1153" spans="8:35" ht="12">
      <c r="H1153" s="67"/>
      <c r="I1153" s="67"/>
      <c r="M1153" s="52"/>
      <c r="N1153" s="52"/>
      <c r="O1153" s="52"/>
      <c r="P1153" s="52"/>
      <c r="Q1153" s="52"/>
      <c r="S1153" s="52"/>
      <c r="T1153" s="52"/>
      <c r="AI1153" s="52"/>
    </row>
    <row r="1154" spans="8:35" ht="12">
      <c r="H1154" s="67"/>
      <c r="I1154" s="67"/>
      <c r="M1154" s="52"/>
      <c r="N1154" s="52"/>
      <c r="O1154" s="52"/>
      <c r="P1154" s="52"/>
      <c r="Q1154" s="52"/>
      <c r="S1154" s="52"/>
      <c r="T1154" s="52"/>
      <c r="AI1154" s="52"/>
    </row>
    <row r="1155" spans="8:35" ht="12">
      <c r="H1155" s="67"/>
      <c r="I1155" s="67"/>
      <c r="M1155" s="52"/>
      <c r="N1155" s="52"/>
      <c r="O1155" s="52"/>
      <c r="P1155" s="52"/>
      <c r="Q1155" s="52"/>
      <c r="S1155" s="52"/>
      <c r="T1155" s="52"/>
      <c r="AI1155" s="52"/>
    </row>
    <row r="1156" spans="9:35" ht="12">
      <c r="I1156" s="67"/>
      <c r="M1156" s="52"/>
      <c r="N1156" s="52"/>
      <c r="O1156" s="52"/>
      <c r="P1156" s="52"/>
      <c r="Q1156" s="52"/>
      <c r="S1156" s="52"/>
      <c r="T1156" s="52"/>
      <c r="AI1156" s="52"/>
    </row>
    <row r="1157" spans="7:35" ht="12">
      <c r="G1157" s="52"/>
      <c r="I1157" s="67"/>
      <c r="M1157" s="52"/>
      <c r="N1157" s="52"/>
      <c r="O1157" s="52"/>
      <c r="P1157" s="52"/>
      <c r="Q1157" s="52"/>
      <c r="S1157" s="52"/>
      <c r="T1157" s="52"/>
      <c r="AI1157" s="52"/>
    </row>
    <row r="1158" spans="7:35" ht="12">
      <c r="G1158" s="52"/>
      <c r="I1158" s="67"/>
      <c r="M1158" s="52"/>
      <c r="N1158" s="52"/>
      <c r="O1158" s="52"/>
      <c r="P1158" s="52"/>
      <c r="Q1158" s="52"/>
      <c r="S1158" s="52"/>
      <c r="T1158" s="52"/>
      <c r="AI1158" s="52"/>
    </row>
    <row r="1159" spans="7:35" ht="12">
      <c r="G1159" s="52"/>
      <c r="I1159" s="67"/>
      <c r="M1159" s="52"/>
      <c r="N1159" s="52"/>
      <c r="O1159" s="52"/>
      <c r="P1159" s="52"/>
      <c r="Q1159" s="52"/>
      <c r="S1159" s="52"/>
      <c r="T1159" s="52"/>
      <c r="AI1159" s="52"/>
    </row>
    <row r="1160" spans="5:35" ht="12">
      <c r="E1160" s="52"/>
      <c r="G1160" s="52"/>
      <c r="M1160" s="52"/>
      <c r="N1160" s="52"/>
      <c r="O1160" s="52"/>
      <c r="P1160" s="52"/>
      <c r="Q1160" s="52"/>
      <c r="S1160" s="52"/>
      <c r="T1160" s="52"/>
      <c r="AI1160" s="52"/>
    </row>
    <row r="1161" spans="5:35" ht="12">
      <c r="E1161" s="52"/>
      <c r="G1161" s="52"/>
      <c r="M1161" s="52"/>
      <c r="N1161" s="52"/>
      <c r="O1161" s="52"/>
      <c r="P1161" s="52"/>
      <c r="Q1161" s="52"/>
      <c r="S1161" s="52"/>
      <c r="T1161" s="52"/>
      <c r="AI1161" s="52"/>
    </row>
    <row r="1162" spans="7:35" ht="12">
      <c r="G1162" s="52"/>
      <c r="M1162" s="52"/>
      <c r="N1162" s="52"/>
      <c r="O1162" s="52"/>
      <c r="P1162" s="52"/>
      <c r="Q1162" s="52"/>
      <c r="S1162" s="52"/>
      <c r="T1162" s="52"/>
      <c r="AI1162" s="52"/>
    </row>
    <row r="1163" spans="7:35" ht="12">
      <c r="G1163" s="52"/>
      <c r="M1163" s="52"/>
      <c r="N1163" s="52"/>
      <c r="O1163" s="52"/>
      <c r="P1163" s="52"/>
      <c r="Q1163" s="52"/>
      <c r="S1163" s="52"/>
      <c r="T1163" s="52"/>
      <c r="AI1163" s="52"/>
    </row>
    <row r="1164" spans="7:35" ht="12">
      <c r="G1164" s="52"/>
      <c r="M1164" s="52"/>
      <c r="N1164" s="52"/>
      <c r="O1164" s="52"/>
      <c r="P1164" s="52"/>
      <c r="Q1164" s="52"/>
      <c r="S1164" s="52"/>
      <c r="T1164" s="52"/>
      <c r="AI1164" s="52"/>
    </row>
    <row r="1165" spans="7:35" ht="12">
      <c r="G1165" s="52"/>
      <c r="M1165" s="52"/>
      <c r="N1165" s="52"/>
      <c r="O1165" s="52"/>
      <c r="P1165" s="52"/>
      <c r="Q1165" s="52"/>
      <c r="S1165" s="52"/>
      <c r="T1165" s="52"/>
      <c r="AI1165" s="52"/>
    </row>
    <row r="1166" spans="7:35" ht="12">
      <c r="G1166" s="52"/>
      <c r="M1166" s="52"/>
      <c r="N1166" s="52"/>
      <c r="O1166" s="52"/>
      <c r="P1166" s="52"/>
      <c r="Q1166" s="52"/>
      <c r="S1166" s="52"/>
      <c r="T1166" s="52"/>
      <c r="AI1166" s="52"/>
    </row>
    <row r="1167" spans="7:20" ht="12">
      <c r="G1167" s="52"/>
      <c r="M1167" s="52"/>
      <c r="N1167" s="52"/>
      <c r="O1167" s="52"/>
      <c r="P1167" s="52"/>
      <c r="Q1167" s="52"/>
      <c r="S1167" s="52"/>
      <c r="T1167" s="52"/>
    </row>
    <row r="1168" spans="13:17" ht="12">
      <c r="M1168" s="52"/>
      <c r="N1168" s="52"/>
      <c r="O1168" s="52"/>
      <c r="P1168" s="52"/>
      <c r="Q1168" s="52"/>
    </row>
    <row r="1169" spans="13:17" ht="12">
      <c r="M1169" s="52"/>
      <c r="N1169" s="52"/>
      <c r="O1169" s="52"/>
      <c r="P1169" s="52"/>
      <c r="Q1169" s="52"/>
    </row>
    <row r="1170" spans="13:17" ht="12">
      <c r="M1170" s="52"/>
      <c r="N1170" s="52"/>
      <c r="O1170" s="52"/>
      <c r="P1170" s="52"/>
      <c r="Q1170" s="52"/>
    </row>
    <row r="1171" spans="13:17" ht="12">
      <c r="M1171" s="52"/>
      <c r="N1171" s="52"/>
      <c r="O1171" s="52"/>
      <c r="P1171" s="52"/>
      <c r="Q1171" s="52"/>
    </row>
    <row r="1172" spans="13:17" ht="12">
      <c r="M1172" s="52"/>
      <c r="N1172" s="52"/>
      <c r="O1172" s="52"/>
      <c r="P1172" s="52"/>
      <c r="Q1172" s="52"/>
    </row>
    <row r="1173" spans="13:17" ht="12">
      <c r="M1173" s="52"/>
      <c r="N1173" s="52"/>
      <c r="O1173" s="52"/>
      <c r="P1173" s="52"/>
      <c r="Q1173" s="52"/>
    </row>
    <row r="1174" spans="13:17" ht="12">
      <c r="M1174" s="52"/>
      <c r="N1174" s="52"/>
      <c r="O1174" s="52"/>
      <c r="P1174" s="52"/>
      <c r="Q1174" s="52"/>
    </row>
    <row r="1175" spans="13:17" ht="12">
      <c r="M1175" s="52"/>
      <c r="N1175" s="52"/>
      <c r="O1175" s="52"/>
      <c r="P1175" s="52"/>
      <c r="Q1175" s="52"/>
    </row>
    <row r="1176" spans="13:17" ht="12">
      <c r="M1176" s="52"/>
      <c r="N1176" s="52"/>
      <c r="O1176" s="52"/>
      <c r="P1176" s="52"/>
      <c r="Q1176" s="52"/>
    </row>
    <row r="1177" spans="13:17" ht="12">
      <c r="M1177" s="52"/>
      <c r="N1177" s="52"/>
      <c r="O1177" s="52"/>
      <c r="P1177" s="52"/>
      <c r="Q1177" s="52"/>
    </row>
    <row r="1178" spans="13:17" ht="12">
      <c r="M1178" s="52"/>
      <c r="N1178" s="52"/>
      <c r="O1178" s="52"/>
      <c r="P1178" s="52"/>
      <c r="Q1178" s="52"/>
    </row>
    <row r="1179" spans="13:17" ht="12">
      <c r="M1179" s="52"/>
      <c r="N1179" s="52"/>
      <c r="O1179" s="52"/>
      <c r="P1179" s="52"/>
      <c r="Q1179" s="52"/>
    </row>
    <row r="1180" spans="13:17" ht="12">
      <c r="M1180" s="52"/>
      <c r="N1180" s="52"/>
      <c r="O1180" s="52"/>
      <c r="P1180" s="52"/>
      <c r="Q1180" s="52"/>
    </row>
    <row r="1181" spans="13:17" ht="12">
      <c r="M1181" s="52"/>
      <c r="N1181" s="52"/>
      <c r="O1181" s="52"/>
      <c r="P1181" s="52"/>
      <c r="Q1181" s="52"/>
    </row>
    <row r="1182" spans="13:17" ht="12">
      <c r="M1182" s="52"/>
      <c r="N1182" s="52"/>
      <c r="O1182" s="52"/>
      <c r="P1182" s="52"/>
      <c r="Q1182" s="52"/>
    </row>
    <row r="1183" spans="13:17" ht="12">
      <c r="M1183" s="52"/>
      <c r="N1183" s="52"/>
      <c r="O1183" s="52"/>
      <c r="P1183" s="52"/>
      <c r="Q1183" s="52"/>
    </row>
    <row r="1184" spans="13:17" ht="12">
      <c r="M1184" s="52"/>
      <c r="N1184" s="52"/>
      <c r="O1184" s="52"/>
      <c r="P1184" s="52"/>
      <c r="Q1184" s="52"/>
    </row>
    <row r="1185" spans="13:17" ht="12">
      <c r="M1185" s="52"/>
      <c r="N1185" s="52"/>
      <c r="O1185" s="52"/>
      <c r="P1185" s="52"/>
      <c r="Q1185" s="52"/>
    </row>
    <row r="1186" spans="13:17" ht="12">
      <c r="M1186" s="52"/>
      <c r="N1186" s="52"/>
      <c r="O1186" s="52"/>
      <c r="P1186" s="52"/>
      <c r="Q1186" s="52"/>
    </row>
    <row r="1187" spans="13:17" ht="12">
      <c r="M1187" s="52"/>
      <c r="N1187" s="52"/>
      <c r="O1187" s="52"/>
      <c r="P1187" s="52"/>
      <c r="Q1187" s="52"/>
    </row>
    <row r="1188" spans="13:17" ht="12">
      <c r="M1188" s="52"/>
      <c r="N1188" s="52"/>
      <c r="O1188" s="52"/>
      <c r="P1188" s="52"/>
      <c r="Q1188" s="52"/>
    </row>
    <row r="1189" spans="13:17" ht="12">
      <c r="M1189" s="52"/>
      <c r="N1189" s="52"/>
      <c r="O1189" s="52"/>
      <c r="P1189" s="52"/>
      <c r="Q1189" s="52"/>
    </row>
    <row r="1190" spans="7:17" ht="12">
      <c r="G1190" s="52"/>
      <c r="M1190" s="52"/>
      <c r="N1190" s="52"/>
      <c r="O1190" s="52"/>
      <c r="P1190" s="52"/>
      <c r="Q1190" s="52"/>
    </row>
    <row r="1191" spans="13:17" ht="12">
      <c r="M1191" s="52"/>
      <c r="N1191" s="52"/>
      <c r="O1191" s="52"/>
      <c r="P1191" s="52"/>
      <c r="Q1191" s="52"/>
    </row>
    <row r="1192" spans="13:17" ht="12">
      <c r="M1192" s="52"/>
      <c r="N1192" s="52"/>
      <c r="O1192" s="52"/>
      <c r="P1192" s="52"/>
      <c r="Q1192" s="52"/>
    </row>
    <row r="1193" spans="13:17" ht="12">
      <c r="M1193" s="52"/>
      <c r="N1193" s="52"/>
      <c r="O1193" s="52"/>
      <c r="P1193" s="52"/>
      <c r="Q1193" s="52"/>
    </row>
    <row r="1194" spans="13:17" ht="12">
      <c r="M1194" s="52"/>
      <c r="N1194" s="52"/>
      <c r="O1194" s="52"/>
      <c r="P1194" s="52"/>
      <c r="Q1194" s="52"/>
    </row>
    <row r="1195" spans="13:17" ht="12">
      <c r="M1195" s="52"/>
      <c r="N1195" s="52"/>
      <c r="O1195" s="52"/>
      <c r="P1195" s="52"/>
      <c r="Q1195" s="52"/>
    </row>
    <row r="1196" spans="13:17" ht="12">
      <c r="M1196" s="52"/>
      <c r="N1196" s="52"/>
      <c r="O1196" s="52"/>
      <c r="P1196" s="52"/>
      <c r="Q1196" s="52"/>
    </row>
    <row r="1197" spans="13:17" ht="12">
      <c r="M1197" s="52"/>
      <c r="N1197" s="52"/>
      <c r="O1197" s="52"/>
      <c r="P1197" s="52"/>
      <c r="Q1197" s="52"/>
    </row>
    <row r="1198" spans="13:17" ht="12">
      <c r="M1198" s="52"/>
      <c r="N1198" s="52"/>
      <c r="O1198" s="52"/>
      <c r="P1198" s="52"/>
      <c r="Q1198" s="52"/>
    </row>
    <row r="1199" spans="13:17" ht="12">
      <c r="M1199" s="52"/>
      <c r="N1199" s="52"/>
      <c r="O1199" s="52"/>
      <c r="P1199" s="52"/>
      <c r="Q1199" s="52"/>
    </row>
    <row r="1200" spans="13:17" ht="12">
      <c r="M1200" s="52"/>
      <c r="N1200" s="52"/>
      <c r="O1200" s="52"/>
      <c r="P1200" s="52"/>
      <c r="Q1200" s="52"/>
    </row>
    <row r="1201" spans="13:17" ht="12">
      <c r="M1201" s="52"/>
      <c r="N1201" s="52"/>
      <c r="O1201" s="52"/>
      <c r="P1201" s="52"/>
      <c r="Q1201" s="52"/>
    </row>
    <row r="1202" spans="13:17" ht="12">
      <c r="M1202" s="52"/>
      <c r="N1202" s="52"/>
      <c r="O1202" s="52"/>
      <c r="P1202" s="52"/>
      <c r="Q1202" s="52"/>
    </row>
    <row r="1203" spans="13:17" ht="12">
      <c r="M1203" s="52"/>
      <c r="N1203" s="52"/>
      <c r="O1203" s="52"/>
      <c r="P1203" s="52"/>
      <c r="Q1203" s="52"/>
    </row>
    <row r="1204" spans="13:17" ht="12">
      <c r="M1204" s="52"/>
      <c r="N1204" s="52"/>
      <c r="O1204" s="52"/>
      <c r="P1204" s="52"/>
      <c r="Q1204" s="52"/>
    </row>
    <row r="1205" spans="13:17" ht="12">
      <c r="M1205" s="52"/>
      <c r="N1205" s="52"/>
      <c r="O1205" s="52"/>
      <c r="P1205" s="52"/>
      <c r="Q1205" s="52"/>
    </row>
    <row r="1206" spans="13:17" ht="12">
      <c r="M1206" s="52"/>
      <c r="N1206" s="52"/>
      <c r="O1206" s="52"/>
      <c r="P1206" s="52"/>
      <c r="Q1206" s="52"/>
    </row>
    <row r="1207" spans="13:17" ht="12">
      <c r="M1207" s="52"/>
      <c r="N1207" s="52"/>
      <c r="O1207" s="52"/>
      <c r="P1207" s="52"/>
      <c r="Q1207" s="52"/>
    </row>
    <row r="1208" spans="13:17" ht="12">
      <c r="M1208" s="52"/>
      <c r="N1208" s="52"/>
      <c r="O1208" s="52"/>
      <c r="P1208" s="52"/>
      <c r="Q1208" s="52"/>
    </row>
    <row r="1209" spans="13:17" ht="12">
      <c r="M1209" s="52"/>
      <c r="N1209" s="52"/>
      <c r="O1209" s="52"/>
      <c r="P1209" s="52"/>
      <c r="Q1209" s="52"/>
    </row>
    <row r="1210" spans="13:17" ht="12">
      <c r="M1210" s="52"/>
      <c r="N1210" s="52"/>
      <c r="O1210" s="52"/>
      <c r="P1210" s="52"/>
      <c r="Q1210" s="52"/>
    </row>
    <row r="1211" spans="13:17" ht="12">
      <c r="M1211" s="52"/>
      <c r="N1211" s="52"/>
      <c r="O1211" s="52"/>
      <c r="P1211" s="52"/>
      <c r="Q1211" s="52"/>
    </row>
    <row r="1212" spans="13:17" ht="12">
      <c r="M1212" s="52"/>
      <c r="N1212" s="52"/>
      <c r="O1212" s="52"/>
      <c r="P1212" s="52"/>
      <c r="Q1212" s="52"/>
    </row>
    <row r="1213" spans="13:17" ht="12">
      <c r="M1213" s="52"/>
      <c r="N1213" s="52"/>
      <c r="O1213" s="52"/>
      <c r="P1213" s="52"/>
      <c r="Q1213" s="52"/>
    </row>
    <row r="1214" spans="13:17" ht="12">
      <c r="M1214" s="52"/>
      <c r="N1214" s="52"/>
      <c r="O1214" s="52"/>
      <c r="P1214" s="52"/>
      <c r="Q1214" s="52"/>
    </row>
    <row r="1215" spans="13:17" ht="12">
      <c r="M1215" s="52"/>
      <c r="N1215" s="52"/>
      <c r="O1215" s="52"/>
      <c r="P1215" s="52"/>
      <c r="Q1215" s="52"/>
    </row>
    <row r="1216" spans="13:17" ht="12">
      <c r="M1216" s="52"/>
      <c r="N1216" s="52"/>
      <c r="O1216" s="52"/>
      <c r="P1216" s="52"/>
      <c r="Q1216" s="52"/>
    </row>
    <row r="1217" spans="13:17" ht="12">
      <c r="M1217" s="52"/>
      <c r="N1217" s="52"/>
      <c r="O1217" s="52"/>
      <c r="P1217" s="52"/>
      <c r="Q1217" s="52"/>
    </row>
    <row r="1218" spans="13:17" ht="12">
      <c r="M1218" s="52"/>
      <c r="N1218" s="52"/>
      <c r="O1218" s="52"/>
      <c r="P1218" s="52"/>
      <c r="Q1218" s="52"/>
    </row>
    <row r="1219" spans="13:17" ht="12">
      <c r="M1219" s="52"/>
      <c r="N1219" s="52"/>
      <c r="O1219" s="52"/>
      <c r="P1219" s="52"/>
      <c r="Q1219" s="52"/>
    </row>
    <row r="1220" spans="13:17" ht="12">
      <c r="M1220" s="52"/>
      <c r="N1220" s="52"/>
      <c r="O1220" s="52"/>
      <c r="P1220" s="52"/>
      <c r="Q1220" s="52"/>
    </row>
    <row r="1221" spans="13:17" ht="12">
      <c r="M1221" s="52"/>
      <c r="N1221" s="52"/>
      <c r="O1221" s="52"/>
      <c r="P1221" s="52"/>
      <c r="Q1221" s="52"/>
    </row>
    <row r="1222" spans="13:17" ht="12">
      <c r="M1222" s="52"/>
      <c r="N1222" s="52"/>
      <c r="O1222" s="52"/>
      <c r="P1222" s="52"/>
      <c r="Q1222" s="52"/>
    </row>
    <row r="1223" spans="13:17" ht="12">
      <c r="M1223" s="52"/>
      <c r="N1223" s="52"/>
      <c r="O1223" s="52"/>
      <c r="P1223" s="52"/>
      <c r="Q1223" s="52"/>
    </row>
    <row r="1224" spans="13:17" ht="12">
      <c r="M1224" s="52"/>
      <c r="N1224" s="52"/>
      <c r="O1224" s="52"/>
      <c r="P1224" s="52"/>
      <c r="Q1224" s="52"/>
    </row>
    <row r="1225" spans="13:17" ht="12">
      <c r="M1225" s="52"/>
      <c r="N1225" s="52"/>
      <c r="O1225" s="52"/>
      <c r="P1225" s="52"/>
      <c r="Q1225" s="52"/>
    </row>
    <row r="1226" spans="13:17" ht="12">
      <c r="M1226" s="52"/>
      <c r="N1226" s="52"/>
      <c r="O1226" s="52"/>
      <c r="P1226" s="52"/>
      <c r="Q1226" s="52"/>
    </row>
    <row r="1227" spans="13:17" ht="12">
      <c r="M1227" s="52"/>
      <c r="N1227" s="52"/>
      <c r="O1227" s="52"/>
      <c r="P1227" s="52"/>
      <c r="Q1227" s="52"/>
    </row>
    <row r="1228" spans="13:17" ht="12">
      <c r="M1228" s="52"/>
      <c r="N1228" s="52"/>
      <c r="O1228" s="52"/>
      <c r="P1228" s="52"/>
      <c r="Q1228" s="52"/>
    </row>
    <row r="1229" spans="13:17" ht="12">
      <c r="M1229" s="52"/>
      <c r="N1229" s="52"/>
      <c r="O1229" s="52"/>
      <c r="P1229" s="52"/>
      <c r="Q1229" s="52"/>
    </row>
    <row r="1230" spans="13:17" ht="12">
      <c r="M1230" s="52"/>
      <c r="N1230" s="52"/>
      <c r="O1230" s="52"/>
      <c r="P1230" s="52"/>
      <c r="Q1230" s="52"/>
    </row>
    <row r="1231" spans="13:17" ht="12">
      <c r="M1231" s="52"/>
      <c r="N1231" s="52"/>
      <c r="O1231" s="52"/>
      <c r="P1231" s="52"/>
      <c r="Q1231" s="52"/>
    </row>
    <row r="1232" spans="13:17" ht="12">
      <c r="M1232" s="52"/>
      <c r="N1232" s="52"/>
      <c r="O1232" s="52"/>
      <c r="P1232" s="52"/>
      <c r="Q1232" s="52"/>
    </row>
    <row r="1233" spans="13:17" ht="12">
      <c r="M1233" s="52"/>
      <c r="N1233" s="52"/>
      <c r="O1233" s="52"/>
      <c r="P1233" s="52"/>
      <c r="Q1233" s="52"/>
    </row>
    <row r="1234" spans="13:17" ht="12">
      <c r="M1234" s="52"/>
      <c r="N1234" s="52"/>
      <c r="O1234" s="52"/>
      <c r="P1234" s="52"/>
      <c r="Q1234" s="52"/>
    </row>
    <row r="1235" spans="13:17" ht="12">
      <c r="M1235" s="52"/>
      <c r="N1235" s="52"/>
      <c r="O1235" s="52"/>
      <c r="P1235" s="52"/>
      <c r="Q1235" s="52"/>
    </row>
    <row r="1236" spans="13:17" ht="12">
      <c r="M1236" s="52"/>
      <c r="N1236" s="52"/>
      <c r="O1236" s="52"/>
      <c r="P1236" s="52"/>
      <c r="Q1236" s="52"/>
    </row>
    <row r="1237" spans="13:17" ht="12">
      <c r="M1237" s="52"/>
      <c r="N1237" s="52"/>
      <c r="O1237" s="52"/>
      <c r="P1237" s="52"/>
      <c r="Q1237" s="52"/>
    </row>
    <row r="1238" spans="13:17" ht="12">
      <c r="M1238" s="52"/>
      <c r="N1238" s="52"/>
      <c r="O1238" s="52"/>
      <c r="P1238" s="52"/>
      <c r="Q1238" s="52"/>
    </row>
    <row r="1239" spans="13:17" ht="12">
      <c r="M1239" s="52"/>
      <c r="N1239" s="52"/>
      <c r="O1239" s="52"/>
      <c r="P1239" s="52"/>
      <c r="Q1239" s="52"/>
    </row>
    <row r="1240" spans="13:17" ht="12">
      <c r="M1240" s="52"/>
      <c r="N1240" s="52"/>
      <c r="O1240" s="52"/>
      <c r="P1240" s="52"/>
      <c r="Q1240" s="52"/>
    </row>
    <row r="1241" spans="13:17" ht="12">
      <c r="M1241" s="52"/>
      <c r="N1241" s="52"/>
      <c r="O1241" s="52"/>
      <c r="P1241" s="52"/>
      <c r="Q1241" s="52"/>
    </row>
    <row r="1242" spans="13:17" ht="12">
      <c r="M1242" s="52"/>
      <c r="N1242" s="52"/>
      <c r="O1242" s="52"/>
      <c r="P1242" s="52"/>
      <c r="Q1242" s="52"/>
    </row>
    <row r="1243" spans="13:17" ht="12">
      <c r="M1243" s="52"/>
      <c r="N1243" s="52"/>
      <c r="O1243" s="52"/>
      <c r="P1243" s="52"/>
      <c r="Q1243" s="52"/>
    </row>
    <row r="1244" spans="13:17" ht="12">
      <c r="M1244" s="52"/>
      <c r="N1244" s="52"/>
      <c r="O1244" s="52"/>
      <c r="P1244" s="52"/>
      <c r="Q1244" s="52"/>
    </row>
    <row r="1245" spans="13:17" ht="12">
      <c r="M1245" s="52"/>
      <c r="N1245" s="52"/>
      <c r="O1245" s="52"/>
      <c r="P1245" s="52"/>
      <c r="Q1245" s="52"/>
    </row>
    <row r="1246" spans="13:17" ht="12">
      <c r="M1246" s="52"/>
      <c r="N1246" s="52"/>
      <c r="O1246" s="52"/>
      <c r="P1246" s="52"/>
      <c r="Q1246" s="52"/>
    </row>
    <row r="1247" spans="13:17" ht="12">
      <c r="M1247" s="52"/>
      <c r="N1247" s="52"/>
      <c r="O1247" s="52"/>
      <c r="P1247" s="52"/>
      <c r="Q1247" s="52"/>
    </row>
    <row r="1248" spans="13:17" ht="12">
      <c r="M1248" s="52"/>
      <c r="N1248" s="52"/>
      <c r="O1248" s="52"/>
      <c r="P1248" s="52"/>
      <c r="Q1248" s="52"/>
    </row>
    <row r="1249" spans="13:17" ht="12">
      <c r="M1249" s="52"/>
      <c r="N1249" s="52"/>
      <c r="O1249" s="52"/>
      <c r="P1249" s="52"/>
      <c r="Q1249" s="52"/>
    </row>
    <row r="1250" spans="13:17" ht="12">
      <c r="M1250" s="52"/>
      <c r="N1250" s="52"/>
      <c r="O1250" s="52"/>
      <c r="P1250" s="52"/>
      <c r="Q1250" s="52"/>
    </row>
    <row r="1251" spans="13:17" ht="12">
      <c r="M1251" s="52"/>
      <c r="N1251" s="52"/>
      <c r="O1251" s="52"/>
      <c r="P1251" s="52"/>
      <c r="Q1251" s="52"/>
    </row>
    <row r="1252" spans="13:17" ht="12">
      <c r="M1252" s="52"/>
      <c r="N1252" s="52"/>
      <c r="O1252" s="52"/>
      <c r="P1252" s="52"/>
      <c r="Q1252" s="52"/>
    </row>
    <row r="1253" spans="13:17" ht="12">
      <c r="M1253" s="52"/>
      <c r="N1253" s="52"/>
      <c r="O1253" s="52"/>
      <c r="P1253" s="52"/>
      <c r="Q1253" s="52"/>
    </row>
    <row r="1254" spans="13:17" ht="12">
      <c r="M1254" s="52"/>
      <c r="N1254" s="52"/>
      <c r="O1254" s="52"/>
      <c r="P1254" s="52"/>
      <c r="Q1254" s="52"/>
    </row>
    <row r="1255" spans="13:17" ht="12">
      <c r="M1255" s="52"/>
      <c r="N1255" s="52"/>
      <c r="O1255" s="52"/>
      <c r="P1255" s="52"/>
      <c r="Q1255" s="52"/>
    </row>
    <row r="1256" spans="13:17" ht="12">
      <c r="M1256" s="52"/>
      <c r="N1256" s="52"/>
      <c r="O1256" s="52"/>
      <c r="P1256" s="52"/>
      <c r="Q1256" s="52"/>
    </row>
    <row r="1257" spans="13:17" ht="12">
      <c r="M1257" s="52"/>
      <c r="N1257" s="52"/>
      <c r="O1257" s="52"/>
      <c r="P1257" s="52"/>
      <c r="Q1257" s="52"/>
    </row>
    <row r="1258" spans="13:17" ht="12">
      <c r="M1258" s="52"/>
      <c r="N1258" s="52"/>
      <c r="O1258" s="52"/>
      <c r="P1258" s="52"/>
      <c r="Q1258" s="52"/>
    </row>
    <row r="1259" spans="13:17" ht="12">
      <c r="M1259" s="52"/>
      <c r="N1259" s="52"/>
      <c r="O1259" s="52"/>
      <c r="P1259" s="52"/>
      <c r="Q1259" s="52"/>
    </row>
    <row r="1260" spans="13:17" ht="12">
      <c r="M1260" s="52"/>
      <c r="N1260" s="52"/>
      <c r="O1260" s="52"/>
      <c r="P1260" s="52"/>
      <c r="Q1260" s="52"/>
    </row>
    <row r="1261" spans="13:17" ht="12">
      <c r="M1261" s="52"/>
      <c r="N1261" s="52"/>
      <c r="O1261" s="52"/>
      <c r="P1261" s="52"/>
      <c r="Q1261" s="52"/>
    </row>
    <row r="1262" spans="13:17" ht="12">
      <c r="M1262" s="52"/>
      <c r="N1262" s="52"/>
      <c r="O1262" s="52"/>
      <c r="P1262" s="52"/>
      <c r="Q1262" s="52"/>
    </row>
    <row r="1263" spans="13:17" ht="12">
      <c r="M1263" s="52"/>
      <c r="N1263" s="52"/>
      <c r="O1263" s="52"/>
      <c r="P1263" s="52"/>
      <c r="Q1263" s="52"/>
    </row>
    <row r="1264" spans="13:17" ht="12">
      <c r="M1264" s="52"/>
      <c r="N1264" s="52"/>
      <c r="O1264" s="52"/>
      <c r="P1264" s="52"/>
      <c r="Q1264" s="52"/>
    </row>
    <row r="1265" spans="13:17" ht="12">
      <c r="M1265" s="52"/>
      <c r="N1265" s="52"/>
      <c r="O1265" s="52"/>
      <c r="P1265" s="52"/>
      <c r="Q1265" s="52"/>
    </row>
    <row r="1266" spans="13:17" ht="12">
      <c r="M1266" s="52"/>
      <c r="N1266" s="52"/>
      <c r="O1266" s="52"/>
      <c r="P1266" s="52"/>
      <c r="Q1266" s="52"/>
    </row>
    <row r="1267" spans="13:17" ht="12">
      <c r="M1267" s="52"/>
      <c r="N1267" s="52"/>
      <c r="O1267" s="52"/>
      <c r="P1267" s="52"/>
      <c r="Q1267" s="52"/>
    </row>
    <row r="1268" spans="13:17" ht="12">
      <c r="M1268" s="52"/>
      <c r="N1268" s="52"/>
      <c r="O1268" s="52"/>
      <c r="P1268" s="52"/>
      <c r="Q1268" s="52"/>
    </row>
    <row r="1269" spans="13:17" ht="12">
      <c r="M1269" s="52"/>
      <c r="N1269" s="52"/>
      <c r="O1269" s="52"/>
      <c r="P1269" s="52"/>
      <c r="Q1269" s="52"/>
    </row>
    <row r="1270" spans="13:17" ht="12">
      <c r="M1270" s="52"/>
      <c r="N1270" s="52"/>
      <c r="O1270" s="52"/>
      <c r="P1270" s="52"/>
      <c r="Q1270" s="52"/>
    </row>
    <row r="1271" spans="13:17" ht="12">
      <c r="M1271" s="52"/>
      <c r="N1271" s="52"/>
      <c r="O1271" s="52"/>
      <c r="P1271" s="52"/>
      <c r="Q1271" s="52"/>
    </row>
    <row r="1272" spans="13:17" ht="12">
      <c r="M1272" s="52"/>
      <c r="N1272" s="52"/>
      <c r="O1272" s="52"/>
      <c r="P1272" s="52"/>
      <c r="Q1272" s="52"/>
    </row>
    <row r="1273" spans="13:17" ht="12">
      <c r="M1273" s="52"/>
      <c r="N1273" s="52"/>
      <c r="O1273" s="52"/>
      <c r="P1273" s="52"/>
      <c r="Q1273" s="52"/>
    </row>
    <row r="1274" spans="13:17" ht="12">
      <c r="M1274" s="52"/>
      <c r="N1274" s="52"/>
      <c r="O1274" s="52"/>
      <c r="P1274" s="52"/>
      <c r="Q1274" s="52"/>
    </row>
    <row r="1275" spans="13:17" ht="12">
      <c r="M1275" s="52"/>
      <c r="N1275" s="52"/>
      <c r="O1275" s="52"/>
      <c r="P1275" s="52"/>
      <c r="Q1275" s="52"/>
    </row>
    <row r="1276" spans="13:17" ht="12">
      <c r="M1276" s="52"/>
      <c r="N1276" s="52"/>
      <c r="O1276" s="52"/>
      <c r="P1276" s="52"/>
      <c r="Q1276" s="52"/>
    </row>
    <row r="1277" spans="13:17" ht="12">
      <c r="M1277" s="52"/>
      <c r="N1277" s="52"/>
      <c r="O1277" s="52"/>
      <c r="P1277" s="52"/>
      <c r="Q1277" s="52"/>
    </row>
    <row r="1278" spans="13:17" ht="12">
      <c r="M1278" s="52"/>
      <c r="N1278" s="52"/>
      <c r="O1278" s="52"/>
      <c r="P1278" s="52"/>
      <c r="Q1278" s="52"/>
    </row>
    <row r="1279" spans="13:17" ht="12">
      <c r="M1279" s="52"/>
      <c r="N1279" s="52"/>
      <c r="O1279" s="52"/>
      <c r="P1279" s="52"/>
      <c r="Q1279" s="52"/>
    </row>
    <row r="1280" spans="13:17" ht="12">
      <c r="M1280" s="52"/>
      <c r="N1280" s="52"/>
      <c r="O1280" s="52"/>
      <c r="P1280" s="52"/>
      <c r="Q1280" s="52"/>
    </row>
    <row r="1281" spans="13:17" ht="12">
      <c r="M1281" s="52"/>
      <c r="N1281" s="52"/>
      <c r="O1281" s="52"/>
      <c r="P1281" s="52"/>
      <c r="Q1281" s="52"/>
    </row>
    <row r="1282" spans="13:17" ht="12">
      <c r="M1282" s="52"/>
      <c r="N1282" s="52"/>
      <c r="O1282" s="52"/>
      <c r="P1282" s="52"/>
      <c r="Q1282" s="52"/>
    </row>
    <row r="1283" spans="13:17" ht="12">
      <c r="M1283" s="52"/>
      <c r="N1283" s="52"/>
      <c r="O1283" s="52"/>
      <c r="P1283" s="52"/>
      <c r="Q1283" s="52"/>
    </row>
    <row r="1284" spans="13:17" ht="12">
      <c r="M1284" s="52"/>
      <c r="N1284" s="52"/>
      <c r="O1284" s="52"/>
      <c r="P1284" s="52"/>
      <c r="Q1284" s="52"/>
    </row>
    <row r="1285" spans="13:17" ht="12">
      <c r="M1285" s="52"/>
      <c r="N1285" s="52"/>
      <c r="O1285" s="52"/>
      <c r="P1285" s="52"/>
      <c r="Q1285" s="52"/>
    </row>
    <row r="1286" spans="13:17" ht="12">
      <c r="M1286" s="52"/>
      <c r="N1286" s="52"/>
      <c r="O1286" s="52"/>
      <c r="P1286" s="52"/>
      <c r="Q1286" s="52"/>
    </row>
    <row r="1287" spans="13:17" ht="12">
      <c r="M1287" s="52"/>
      <c r="N1287" s="52"/>
      <c r="O1287" s="52"/>
      <c r="P1287" s="52"/>
      <c r="Q1287" s="52"/>
    </row>
    <row r="1288" spans="13:17" ht="12">
      <c r="M1288" s="52"/>
      <c r="N1288" s="52"/>
      <c r="O1288" s="52"/>
      <c r="P1288" s="52"/>
      <c r="Q1288" s="52"/>
    </row>
    <row r="1289" spans="13:17" ht="12">
      <c r="M1289" s="52"/>
      <c r="N1289" s="52"/>
      <c r="O1289" s="52"/>
      <c r="P1289" s="52"/>
      <c r="Q1289" s="52"/>
    </row>
    <row r="1290" spans="13:17" ht="12">
      <c r="M1290" s="52"/>
      <c r="N1290" s="52"/>
      <c r="O1290" s="52"/>
      <c r="P1290" s="52"/>
      <c r="Q1290" s="52"/>
    </row>
    <row r="1291" spans="13:17" ht="12">
      <c r="M1291" s="52"/>
      <c r="N1291" s="52"/>
      <c r="O1291" s="52"/>
      <c r="P1291" s="52"/>
      <c r="Q1291" s="52"/>
    </row>
    <row r="1292" spans="13:17" ht="12">
      <c r="M1292" s="52"/>
      <c r="N1292" s="52"/>
      <c r="O1292" s="52"/>
      <c r="P1292" s="52"/>
      <c r="Q1292" s="52"/>
    </row>
    <row r="1293" spans="13:17" ht="12">
      <c r="M1293" s="52"/>
      <c r="N1293" s="52"/>
      <c r="O1293" s="52"/>
      <c r="P1293" s="52"/>
      <c r="Q1293" s="52"/>
    </row>
    <row r="1294" spans="13:17" ht="12">
      <c r="M1294" s="52"/>
      <c r="N1294" s="52"/>
      <c r="O1294" s="52"/>
      <c r="P1294" s="52"/>
      <c r="Q1294" s="52"/>
    </row>
    <row r="1295" spans="13:17" ht="12">
      <c r="M1295" s="52"/>
      <c r="N1295" s="52"/>
      <c r="O1295" s="52"/>
      <c r="P1295" s="52"/>
      <c r="Q1295" s="52"/>
    </row>
    <row r="1296" spans="13:17" ht="12">
      <c r="M1296" s="52"/>
      <c r="N1296" s="52"/>
      <c r="O1296" s="52"/>
      <c r="P1296" s="52"/>
      <c r="Q1296" s="52"/>
    </row>
    <row r="1297" spans="13:17" ht="12">
      <c r="M1297" s="52"/>
      <c r="N1297" s="52"/>
      <c r="O1297" s="52"/>
      <c r="P1297" s="52"/>
      <c r="Q1297" s="52"/>
    </row>
    <row r="1298" spans="13:17" ht="12">
      <c r="M1298" s="52"/>
      <c r="N1298" s="52"/>
      <c r="O1298" s="52"/>
      <c r="P1298" s="52"/>
      <c r="Q1298" s="52"/>
    </row>
    <row r="1299" spans="13:17" ht="12">
      <c r="M1299" s="52"/>
      <c r="N1299" s="52"/>
      <c r="O1299" s="52"/>
      <c r="P1299" s="52"/>
      <c r="Q1299" s="52"/>
    </row>
    <row r="1300" spans="13:17" ht="12">
      <c r="M1300" s="52"/>
      <c r="N1300" s="52"/>
      <c r="O1300" s="52"/>
      <c r="P1300" s="52"/>
      <c r="Q1300" s="52"/>
    </row>
    <row r="1301" spans="13:17" ht="12">
      <c r="M1301" s="52"/>
      <c r="N1301" s="52"/>
      <c r="O1301" s="52"/>
      <c r="P1301" s="52"/>
      <c r="Q1301" s="52"/>
    </row>
    <row r="1302" spans="13:17" ht="12">
      <c r="M1302" s="52"/>
      <c r="N1302" s="52"/>
      <c r="O1302" s="52"/>
      <c r="P1302" s="52"/>
      <c r="Q1302" s="52"/>
    </row>
    <row r="1303" spans="13:17" ht="12">
      <c r="M1303" s="52"/>
      <c r="N1303" s="52"/>
      <c r="O1303" s="52"/>
      <c r="P1303" s="52"/>
      <c r="Q1303" s="52"/>
    </row>
    <row r="1304" spans="13:17" ht="12">
      <c r="M1304" s="52"/>
      <c r="N1304" s="52"/>
      <c r="O1304" s="52"/>
      <c r="P1304" s="52"/>
      <c r="Q1304" s="52"/>
    </row>
    <row r="1305" spans="13:17" ht="12">
      <c r="M1305" s="52"/>
      <c r="N1305" s="52"/>
      <c r="O1305" s="52"/>
      <c r="P1305" s="52"/>
      <c r="Q1305" s="52"/>
    </row>
    <row r="1306" spans="13:17" ht="12">
      <c r="M1306" s="52"/>
      <c r="N1306" s="52"/>
      <c r="O1306" s="52"/>
      <c r="P1306" s="52"/>
      <c r="Q1306" s="52"/>
    </row>
    <row r="1307" spans="13:17" ht="12">
      <c r="M1307" s="52"/>
      <c r="N1307" s="52"/>
      <c r="O1307" s="52"/>
      <c r="P1307" s="52"/>
      <c r="Q1307" s="52"/>
    </row>
    <row r="1308" spans="13:17" ht="12">
      <c r="M1308" s="52"/>
      <c r="N1308" s="52"/>
      <c r="O1308" s="52"/>
      <c r="P1308" s="52"/>
      <c r="Q1308" s="52"/>
    </row>
    <row r="1309" spans="13:17" ht="12">
      <c r="M1309" s="52"/>
      <c r="N1309" s="52"/>
      <c r="O1309" s="52"/>
      <c r="P1309" s="52"/>
      <c r="Q1309" s="52"/>
    </row>
    <row r="1310" spans="13:17" ht="12">
      <c r="M1310" s="52"/>
      <c r="N1310" s="52"/>
      <c r="O1310" s="52"/>
      <c r="P1310" s="52"/>
      <c r="Q1310" s="52"/>
    </row>
    <row r="1311" spans="13:17" ht="12">
      <c r="M1311" s="52"/>
      <c r="N1311" s="52"/>
      <c r="O1311" s="52"/>
      <c r="P1311" s="52"/>
      <c r="Q1311" s="52"/>
    </row>
    <row r="1312" spans="13:17" ht="12">
      <c r="M1312" s="52"/>
      <c r="N1312" s="52"/>
      <c r="O1312" s="52"/>
      <c r="P1312" s="52"/>
      <c r="Q1312" s="52"/>
    </row>
    <row r="1313" spans="13:17" ht="12">
      <c r="M1313" s="52"/>
      <c r="N1313" s="52"/>
      <c r="O1313" s="52"/>
      <c r="P1313" s="52"/>
      <c r="Q1313" s="52"/>
    </row>
    <row r="1314" spans="13:17" ht="12">
      <c r="M1314" s="52"/>
      <c r="N1314" s="52"/>
      <c r="O1314" s="52"/>
      <c r="P1314" s="52"/>
      <c r="Q1314" s="52"/>
    </row>
    <row r="1315" spans="13:17" ht="12">
      <c r="M1315" s="52"/>
      <c r="N1315" s="52"/>
      <c r="O1315" s="52"/>
      <c r="P1315" s="52"/>
      <c r="Q1315" s="52"/>
    </row>
    <row r="1316" spans="13:17" ht="12">
      <c r="M1316" s="52"/>
      <c r="N1316" s="52"/>
      <c r="O1316" s="52"/>
      <c r="P1316" s="52"/>
      <c r="Q1316" s="52"/>
    </row>
    <row r="1317" spans="13:17" ht="12">
      <c r="M1317" s="52"/>
      <c r="N1317" s="52"/>
      <c r="O1317" s="52"/>
      <c r="P1317" s="52"/>
      <c r="Q1317" s="52"/>
    </row>
    <row r="1318" spans="13:17" ht="12">
      <c r="M1318" s="52"/>
      <c r="N1318" s="52"/>
      <c r="O1318" s="52"/>
      <c r="P1318" s="52"/>
      <c r="Q1318" s="52"/>
    </row>
    <row r="1319" spans="13:17" ht="12">
      <c r="M1319" s="52"/>
      <c r="N1319" s="52"/>
      <c r="O1319" s="52"/>
      <c r="P1319" s="52"/>
      <c r="Q1319" s="52"/>
    </row>
    <row r="1320" spans="13:17" ht="12">
      <c r="M1320" s="52"/>
      <c r="N1320" s="52"/>
      <c r="O1320" s="52"/>
      <c r="P1320" s="52"/>
      <c r="Q1320" s="52"/>
    </row>
    <row r="1321" spans="13:17" ht="12">
      <c r="M1321" s="52"/>
      <c r="N1321" s="52"/>
      <c r="O1321" s="52"/>
      <c r="P1321" s="52"/>
      <c r="Q1321" s="52"/>
    </row>
    <row r="1322" spans="13:17" ht="12">
      <c r="M1322" s="52"/>
      <c r="N1322" s="52"/>
      <c r="O1322" s="52"/>
      <c r="P1322" s="52"/>
      <c r="Q1322" s="52"/>
    </row>
    <row r="1323" spans="13:17" ht="12">
      <c r="M1323" s="52"/>
      <c r="N1323" s="52"/>
      <c r="O1323" s="52"/>
      <c r="P1323" s="52"/>
      <c r="Q1323" s="52"/>
    </row>
    <row r="1324" spans="13:17" ht="12">
      <c r="M1324" s="52"/>
      <c r="N1324" s="52"/>
      <c r="O1324" s="52"/>
      <c r="P1324" s="52"/>
      <c r="Q1324" s="52"/>
    </row>
    <row r="1325" spans="13:17" ht="12">
      <c r="M1325" s="52"/>
      <c r="N1325" s="52"/>
      <c r="O1325" s="52"/>
      <c r="P1325" s="52"/>
      <c r="Q1325" s="52"/>
    </row>
    <row r="1326" spans="13:17" ht="12">
      <c r="M1326" s="52"/>
      <c r="N1326" s="52"/>
      <c r="O1326" s="52"/>
      <c r="P1326" s="52"/>
      <c r="Q1326" s="52"/>
    </row>
    <row r="1327" spans="13:17" ht="12">
      <c r="M1327" s="52"/>
      <c r="N1327" s="52"/>
      <c r="O1327" s="52"/>
      <c r="P1327" s="52"/>
      <c r="Q1327" s="52"/>
    </row>
  </sheetData>
  <sheetProtection/>
  <mergeCells count="10">
    <mergeCell ref="B1141:D1141"/>
    <mergeCell ref="B1142:D1142"/>
    <mergeCell ref="A1131:R1131"/>
    <mergeCell ref="M1141:R1141"/>
    <mergeCell ref="N1142:P1142"/>
    <mergeCell ref="A1133:E1133"/>
    <mergeCell ref="A1132:R1132"/>
    <mergeCell ref="B1137:D1137"/>
    <mergeCell ref="B1138:D1138"/>
    <mergeCell ref="N1140:P1140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">
      <selection activeCell="C70" sqref="C70"/>
    </sheetView>
  </sheetViews>
  <sheetFormatPr defaultColWidth="9.140625" defaultRowHeight="12.75"/>
  <cols>
    <col min="1" max="1" width="9.421875" style="54" bestFit="1" customWidth="1"/>
    <col min="2" max="2" width="9.421875" style="60" bestFit="1" customWidth="1"/>
    <col min="3" max="3" width="43.57421875" style="58" customWidth="1"/>
    <col min="4" max="4" width="11.57421875" style="65" customWidth="1"/>
    <col min="5" max="5" width="9.140625" style="65" customWidth="1"/>
    <col min="6" max="16384" width="9.140625" style="58" customWidth="1"/>
  </cols>
  <sheetData>
    <row r="1" spans="1:4" s="56" customFormat="1" ht="12">
      <c r="A1" s="24" t="s">
        <v>1</v>
      </c>
      <c r="B1" s="34" t="s">
        <v>2</v>
      </c>
      <c r="C1" s="34"/>
      <c r="D1" s="11" t="s">
        <v>59</v>
      </c>
    </row>
    <row r="2" spans="1:4" s="56" customFormat="1" ht="12">
      <c r="A2" s="25" t="s">
        <v>3</v>
      </c>
      <c r="B2" s="22" t="s">
        <v>4</v>
      </c>
      <c r="C2" s="22" t="s">
        <v>119</v>
      </c>
      <c r="D2" s="41">
        <v>2014</v>
      </c>
    </row>
    <row r="3" spans="1:4" s="56" customFormat="1" ht="12">
      <c r="A3" s="26">
        <v>1</v>
      </c>
      <c r="B3" s="26">
        <v>2</v>
      </c>
      <c r="C3" s="26">
        <v>3</v>
      </c>
      <c r="D3" s="43">
        <v>4</v>
      </c>
    </row>
    <row r="4" spans="1:4" s="56" customFormat="1" ht="12">
      <c r="A4" s="26"/>
      <c r="B4" s="167">
        <v>711</v>
      </c>
      <c r="C4" s="3" t="s">
        <v>5</v>
      </c>
      <c r="D4" s="55"/>
    </row>
    <row r="5" spans="1:4" s="59" customFormat="1" ht="12">
      <c r="A5" s="27">
        <v>1</v>
      </c>
      <c r="B5" s="7">
        <v>711110</v>
      </c>
      <c r="C5" s="8" t="s">
        <v>6</v>
      </c>
      <c r="D5" s="30">
        <v>177000000</v>
      </c>
    </row>
    <row r="6" spans="1:4" s="56" customFormat="1" ht="12">
      <c r="A6" s="27">
        <f>+A5+1</f>
        <v>2</v>
      </c>
      <c r="B6" s="7">
        <v>711120</v>
      </c>
      <c r="C6" s="8" t="s">
        <v>7</v>
      </c>
      <c r="D6" s="30">
        <v>19000000</v>
      </c>
    </row>
    <row r="7" spans="1:4" s="56" customFormat="1" ht="12">
      <c r="A7" s="27">
        <f>+A6+1</f>
        <v>3</v>
      </c>
      <c r="B7" s="7">
        <v>711140</v>
      </c>
      <c r="C7" s="8" t="s">
        <v>8</v>
      </c>
      <c r="D7" s="30">
        <v>12000000</v>
      </c>
    </row>
    <row r="8" spans="1:4" s="56" customFormat="1" ht="12">
      <c r="A8" s="27">
        <f>+A7+1</f>
        <v>4</v>
      </c>
      <c r="B8" s="7">
        <v>711180</v>
      </c>
      <c r="C8" s="8" t="s">
        <v>9</v>
      </c>
      <c r="D8" s="30">
        <f>6000000+468000</f>
        <v>6468000</v>
      </c>
    </row>
    <row r="9" spans="1:4" s="56" customFormat="1" ht="12">
      <c r="A9" s="27">
        <f>+A8+1</f>
        <v>5</v>
      </c>
      <c r="B9" s="7">
        <v>711190</v>
      </c>
      <c r="C9" s="9" t="s">
        <v>10</v>
      </c>
      <c r="D9" s="30">
        <v>14500000</v>
      </c>
    </row>
    <row r="10" spans="1:4" s="56" customFormat="1" ht="12">
      <c r="A10" s="26"/>
      <c r="B10" s="26"/>
      <c r="C10" s="3" t="s">
        <v>11</v>
      </c>
      <c r="D10" s="32">
        <f>SUM(D5:D9)</f>
        <v>228968000</v>
      </c>
    </row>
    <row r="11" spans="1:4" s="56" customFormat="1" ht="12">
      <c r="A11" s="27"/>
      <c r="B11" s="28">
        <v>713</v>
      </c>
      <c r="C11" s="169" t="s">
        <v>12</v>
      </c>
      <c r="D11" s="30"/>
    </row>
    <row r="12" spans="1:4" s="56" customFormat="1" ht="12">
      <c r="A12" s="27">
        <f>A9+1</f>
        <v>6</v>
      </c>
      <c r="B12" s="7">
        <v>713120</v>
      </c>
      <c r="C12" s="8" t="s">
        <v>12</v>
      </c>
      <c r="D12" s="30">
        <v>68000000</v>
      </c>
    </row>
    <row r="13" spans="1:4" s="56" customFormat="1" ht="12">
      <c r="A13" s="27">
        <f>+A12+1</f>
        <v>7</v>
      </c>
      <c r="B13" s="7">
        <v>713310</v>
      </c>
      <c r="C13" s="8" t="s">
        <v>13</v>
      </c>
      <c r="D13" s="30">
        <v>4000000</v>
      </c>
    </row>
    <row r="14" spans="1:4" s="56" customFormat="1" ht="12">
      <c r="A14" s="27">
        <f>+A13+1</f>
        <v>8</v>
      </c>
      <c r="B14" s="7">
        <v>713420</v>
      </c>
      <c r="C14" s="8" t="s">
        <v>14</v>
      </c>
      <c r="D14" s="30">
        <v>32000000</v>
      </c>
    </row>
    <row r="15" spans="1:4" s="56" customFormat="1" ht="12">
      <c r="A15" s="26"/>
      <c r="B15" s="26"/>
      <c r="C15" s="3" t="s">
        <v>15</v>
      </c>
      <c r="D15" s="32">
        <f>SUM(D12:D14)</f>
        <v>104000000</v>
      </c>
    </row>
    <row r="16" spans="1:4" s="56" customFormat="1" ht="12">
      <c r="A16" s="27"/>
      <c r="B16" s="28">
        <v>714</v>
      </c>
      <c r="C16" s="169" t="s">
        <v>16</v>
      </c>
      <c r="D16" s="30"/>
    </row>
    <row r="17" spans="1:4" s="56" customFormat="1" ht="12">
      <c r="A17" s="27">
        <f>A14+1</f>
        <v>9</v>
      </c>
      <c r="B17" s="7">
        <v>714430</v>
      </c>
      <c r="C17" s="8" t="s">
        <v>17</v>
      </c>
      <c r="D17" s="30">
        <v>500000</v>
      </c>
    </row>
    <row r="18" spans="1:4" s="56" customFormat="1" ht="12">
      <c r="A18" s="27">
        <f>A17+1</f>
        <v>10</v>
      </c>
      <c r="B18" s="7">
        <v>714510</v>
      </c>
      <c r="C18" s="8" t="s">
        <v>18</v>
      </c>
      <c r="D18" s="30">
        <f>12000000*1.055</f>
        <v>12660000</v>
      </c>
    </row>
    <row r="19" spans="1:4" s="56" customFormat="1" ht="12">
      <c r="A19" s="27">
        <f>A18+1</f>
        <v>11</v>
      </c>
      <c r="B19" s="7">
        <v>714540</v>
      </c>
      <c r="C19" s="8" t="s">
        <v>19</v>
      </c>
      <c r="D19" s="30">
        <v>2000000</v>
      </c>
    </row>
    <row r="20" spans="1:4" s="56" customFormat="1" ht="12">
      <c r="A20" s="27">
        <f>A19+1</f>
        <v>12</v>
      </c>
      <c r="B20" s="7">
        <v>714552</v>
      </c>
      <c r="C20" s="8" t="s">
        <v>20</v>
      </c>
      <c r="D20" s="30">
        <v>25000000</v>
      </c>
    </row>
    <row r="21" spans="1:4" s="56" customFormat="1" ht="12">
      <c r="A21" s="27">
        <f>+A20+1</f>
        <v>13</v>
      </c>
      <c r="B21" s="7">
        <v>714590</v>
      </c>
      <c r="C21" s="9" t="s">
        <v>125</v>
      </c>
      <c r="D21" s="30">
        <v>2500000</v>
      </c>
    </row>
    <row r="22" spans="1:4" s="56" customFormat="1" ht="12">
      <c r="A22" s="26"/>
      <c r="B22" s="26"/>
      <c r="C22" s="3" t="s">
        <v>22</v>
      </c>
      <c r="D22" s="32">
        <f>SUM(D17:D21)</f>
        <v>42660000</v>
      </c>
    </row>
    <row r="23" spans="1:4" s="56" customFormat="1" ht="12">
      <c r="A23" s="27"/>
      <c r="B23" s="28">
        <v>716</v>
      </c>
      <c r="C23" s="169" t="s">
        <v>23</v>
      </c>
      <c r="D23" s="30"/>
    </row>
    <row r="24" spans="1:4" s="56" customFormat="1" ht="12">
      <c r="A24" s="27">
        <f>A21+1</f>
        <v>14</v>
      </c>
      <c r="B24" s="7">
        <v>716110</v>
      </c>
      <c r="C24" s="9" t="s">
        <v>24</v>
      </c>
      <c r="D24" s="30">
        <v>20000000</v>
      </c>
    </row>
    <row r="25" spans="1:4" s="56" customFormat="1" ht="12">
      <c r="A25" s="26"/>
      <c r="B25" s="26"/>
      <c r="C25" s="3" t="s">
        <v>25</v>
      </c>
      <c r="D25" s="4">
        <f>SUM(D24)</f>
        <v>20000000</v>
      </c>
    </row>
    <row r="26" spans="1:4" s="56" customFormat="1" ht="12">
      <c r="A26" s="33"/>
      <c r="B26" s="2">
        <v>730</v>
      </c>
      <c r="C26" s="169" t="s">
        <v>26</v>
      </c>
      <c r="D26" s="30"/>
    </row>
    <row r="27" spans="1:4" s="56" customFormat="1" ht="12">
      <c r="A27" s="27">
        <f>+A24+1</f>
        <v>15</v>
      </c>
      <c r="B27" s="7">
        <v>733151</v>
      </c>
      <c r="C27" s="9" t="s">
        <v>27</v>
      </c>
      <c r="D27" s="30">
        <v>88787000</v>
      </c>
    </row>
    <row r="28" spans="1:4" s="56" customFormat="1" ht="12">
      <c r="A28" s="26"/>
      <c r="B28" s="26"/>
      <c r="C28" s="3" t="s">
        <v>28</v>
      </c>
      <c r="D28" s="4">
        <f>SUM(D27:D27)</f>
        <v>88787000</v>
      </c>
    </row>
    <row r="29" spans="1:4" s="56" customFormat="1" ht="12">
      <c r="A29" s="27"/>
      <c r="B29" s="28">
        <v>741</v>
      </c>
      <c r="C29" s="169" t="s">
        <v>29</v>
      </c>
      <c r="D29" s="30"/>
    </row>
    <row r="30" spans="1:4" s="56" customFormat="1" ht="12">
      <c r="A30" s="27">
        <f>+A27+1</f>
        <v>16</v>
      </c>
      <c r="B30" s="7">
        <v>741150</v>
      </c>
      <c r="C30" s="8" t="s">
        <v>287</v>
      </c>
      <c r="D30" s="30">
        <v>4000000</v>
      </c>
    </row>
    <row r="31" spans="1:4" s="56" customFormat="1" ht="12">
      <c r="A31" s="27">
        <f>+A30+1</f>
        <v>17</v>
      </c>
      <c r="B31" s="7">
        <v>741531</v>
      </c>
      <c r="C31" s="8" t="s">
        <v>30</v>
      </c>
      <c r="D31" s="30">
        <v>22000000</v>
      </c>
    </row>
    <row r="32" spans="1:4" s="56" customFormat="1" ht="12">
      <c r="A32" s="8"/>
      <c r="B32" s="7"/>
      <c r="C32" s="8" t="s">
        <v>31</v>
      </c>
      <c r="D32" s="30"/>
    </row>
    <row r="33" spans="1:4" s="56" customFormat="1" ht="12">
      <c r="A33" s="27"/>
      <c r="B33" s="7"/>
      <c r="C33" s="8" t="s">
        <v>32</v>
      </c>
      <c r="D33" s="30"/>
    </row>
    <row r="34" spans="1:4" s="56" customFormat="1" ht="12">
      <c r="A34" s="27">
        <f>+A31+1</f>
        <v>18</v>
      </c>
      <c r="B34" s="7">
        <v>741532</v>
      </c>
      <c r="C34" s="8" t="s">
        <v>33</v>
      </c>
      <c r="D34" s="30">
        <v>0</v>
      </c>
    </row>
    <row r="35" spans="1:4" s="56" customFormat="1" ht="12">
      <c r="A35" s="27">
        <f>+A34+1</f>
        <v>19</v>
      </c>
      <c r="B35" s="7">
        <v>741534</v>
      </c>
      <c r="C35" s="8" t="s">
        <v>34</v>
      </c>
      <c r="D35" s="10">
        <v>3000000</v>
      </c>
    </row>
    <row r="36" spans="1:4" s="56" customFormat="1" ht="12">
      <c r="A36" s="27">
        <f>A35+1</f>
        <v>20</v>
      </c>
      <c r="B36" s="7">
        <v>741535</v>
      </c>
      <c r="C36" s="8" t="s">
        <v>35</v>
      </c>
      <c r="D36" s="30">
        <v>100000</v>
      </c>
    </row>
    <row r="37" spans="1:4" s="56" customFormat="1" ht="12">
      <c r="A37" s="27">
        <f>A36+1</f>
        <v>21</v>
      </c>
      <c r="B37" s="7">
        <v>741540</v>
      </c>
      <c r="C37" s="9" t="s">
        <v>36</v>
      </c>
      <c r="D37" s="30">
        <v>8000000</v>
      </c>
    </row>
    <row r="38" spans="1:4" s="56" customFormat="1" ht="12">
      <c r="A38" s="27">
        <f>A37+1</f>
        <v>22</v>
      </c>
      <c r="B38" s="7">
        <v>741569</v>
      </c>
      <c r="C38" s="9" t="s">
        <v>63</v>
      </c>
      <c r="D38" s="30">
        <v>100000</v>
      </c>
    </row>
    <row r="39" spans="1:4" s="56" customFormat="1" ht="12">
      <c r="A39" s="26"/>
      <c r="B39" s="26"/>
      <c r="C39" s="3" t="s">
        <v>37</v>
      </c>
      <c r="D39" s="4">
        <f>SUM(D30:D35)+SUM(D36:D38)</f>
        <v>37200000</v>
      </c>
    </row>
    <row r="40" spans="1:4" s="56" customFormat="1" ht="12">
      <c r="A40" s="33"/>
      <c r="B40" s="28">
        <v>742</v>
      </c>
      <c r="C40" s="169" t="s">
        <v>38</v>
      </c>
      <c r="D40" s="171"/>
    </row>
    <row r="41" spans="1:4" s="56" customFormat="1" ht="12">
      <c r="A41" s="27">
        <f>A38+1</f>
        <v>23</v>
      </c>
      <c r="B41" s="7">
        <v>742153</v>
      </c>
      <c r="C41" s="8" t="s">
        <v>126</v>
      </c>
      <c r="D41" s="30">
        <v>1000000</v>
      </c>
    </row>
    <row r="42" spans="1:4" s="56" customFormat="1" ht="12">
      <c r="A42" s="27">
        <f>A41+1</f>
        <v>24</v>
      </c>
      <c r="B42" s="7">
        <v>742251</v>
      </c>
      <c r="C42" s="172" t="s">
        <v>39</v>
      </c>
      <c r="D42" s="30">
        <v>3500000</v>
      </c>
    </row>
    <row r="43" spans="1:4" s="56" customFormat="1" ht="12">
      <c r="A43" s="27">
        <f>A42+1</f>
        <v>25</v>
      </c>
      <c r="B43" s="7">
        <v>742253</v>
      </c>
      <c r="C43" s="8" t="s">
        <v>40</v>
      </c>
      <c r="D43" s="30">
        <v>50000000</v>
      </c>
    </row>
    <row r="44" spans="1:4" s="56" customFormat="1" ht="12">
      <c r="A44" s="27">
        <f>A43+1</f>
        <v>26</v>
      </c>
      <c r="B44" s="7">
        <v>742351</v>
      </c>
      <c r="C44" s="9" t="s">
        <v>41</v>
      </c>
      <c r="D44" s="30">
        <v>2000000</v>
      </c>
    </row>
    <row r="45" spans="1:4" s="56" customFormat="1" ht="12">
      <c r="A45" s="26"/>
      <c r="B45" s="26"/>
      <c r="C45" s="3" t="s">
        <v>42</v>
      </c>
      <c r="D45" s="32">
        <f>SUM(D41:D44)</f>
        <v>56500000</v>
      </c>
    </row>
    <row r="46" spans="1:4" s="56" customFormat="1" ht="12">
      <c r="A46" s="27"/>
      <c r="B46" s="28">
        <v>743</v>
      </c>
      <c r="C46" s="169" t="s">
        <v>43</v>
      </c>
      <c r="D46" s="30"/>
    </row>
    <row r="47" spans="1:4" s="56" customFormat="1" ht="12">
      <c r="A47" s="27">
        <f>A44+1</f>
        <v>27</v>
      </c>
      <c r="B47" s="7">
        <v>743324</v>
      </c>
      <c r="C47" s="8" t="s">
        <v>44</v>
      </c>
      <c r="D47" s="30">
        <v>5000000</v>
      </c>
    </row>
    <row r="48" spans="1:4" s="56" customFormat="1" ht="12">
      <c r="A48" s="27">
        <f>A47+1</f>
        <v>28</v>
      </c>
      <c r="B48" s="7">
        <v>743351</v>
      </c>
      <c r="C48" s="8" t="s">
        <v>45</v>
      </c>
      <c r="D48" s="30">
        <v>500000</v>
      </c>
    </row>
    <row r="49" spans="1:4" s="56" customFormat="1" ht="12">
      <c r="A49" s="27"/>
      <c r="B49" s="7"/>
      <c r="C49" s="8" t="s">
        <v>46</v>
      </c>
      <c r="D49" s="30"/>
    </row>
    <row r="50" spans="1:4" s="56" customFormat="1" ht="12">
      <c r="A50" s="27"/>
      <c r="B50" s="7"/>
      <c r="C50" s="9" t="s">
        <v>47</v>
      </c>
      <c r="D50" s="30"/>
    </row>
    <row r="51" spans="1:4" s="56" customFormat="1" ht="12">
      <c r="A51" s="26"/>
      <c r="B51" s="26"/>
      <c r="C51" s="3" t="s">
        <v>48</v>
      </c>
      <c r="D51" s="4">
        <f>SUM(D47:D50)</f>
        <v>5500000</v>
      </c>
    </row>
    <row r="52" spans="1:4" s="56" customFormat="1" ht="12">
      <c r="A52" s="27"/>
      <c r="B52" s="2">
        <v>744</v>
      </c>
      <c r="C52" s="5" t="s">
        <v>49</v>
      </c>
      <c r="D52" s="30"/>
    </row>
    <row r="53" spans="1:4" s="56" customFormat="1" ht="12">
      <c r="A53" s="27">
        <f>A48+1</f>
        <v>29</v>
      </c>
      <c r="B53" s="33">
        <v>744151</v>
      </c>
      <c r="C53" s="9" t="s">
        <v>50</v>
      </c>
      <c r="D53" s="30">
        <f>2500000+980000+84000</f>
        <v>3564000</v>
      </c>
    </row>
    <row r="54" spans="1:4" s="56" customFormat="1" ht="12">
      <c r="A54" s="27"/>
      <c r="B54" s="33"/>
      <c r="C54" s="9" t="s">
        <v>51</v>
      </c>
      <c r="D54" s="30"/>
    </row>
    <row r="55" spans="1:4" s="56" customFormat="1" ht="12">
      <c r="A55" s="26"/>
      <c r="B55" s="26"/>
      <c r="C55" s="3" t="s">
        <v>52</v>
      </c>
      <c r="D55" s="4">
        <f>D53</f>
        <v>3564000</v>
      </c>
    </row>
    <row r="56" spans="1:4" s="56" customFormat="1" ht="12">
      <c r="A56" s="27"/>
      <c r="B56" s="28">
        <v>745</v>
      </c>
      <c r="C56" s="169" t="s">
        <v>53</v>
      </c>
      <c r="D56" s="30"/>
    </row>
    <row r="57" spans="1:4" s="56" customFormat="1" ht="12">
      <c r="A57" s="27">
        <f>A53+1</f>
        <v>30</v>
      </c>
      <c r="B57" s="27">
        <v>745150</v>
      </c>
      <c r="C57" s="9" t="s">
        <v>54</v>
      </c>
      <c r="D57" s="30">
        <f>2500000-360000+35000</f>
        <v>2175000</v>
      </c>
    </row>
    <row r="58" spans="1:4" s="56" customFormat="1" ht="12">
      <c r="A58" s="26"/>
      <c r="B58" s="26"/>
      <c r="C58" s="3" t="s">
        <v>55</v>
      </c>
      <c r="D58" s="4">
        <f>SUM(D57:D57)</f>
        <v>2175000</v>
      </c>
    </row>
    <row r="59" spans="1:4" s="56" customFormat="1" ht="12">
      <c r="A59" s="25">
        <f>+A57+1</f>
        <v>31</v>
      </c>
      <c r="B59" s="25">
        <v>813151</v>
      </c>
      <c r="C59" s="173" t="s">
        <v>65</v>
      </c>
      <c r="D59" s="18">
        <f>24501000-3806000+15000000</f>
        <v>35695000</v>
      </c>
    </row>
    <row r="60" spans="1:4" s="56" customFormat="1" ht="12">
      <c r="A60" s="26"/>
      <c r="B60" s="26"/>
      <c r="C60" s="48" t="s">
        <v>127</v>
      </c>
      <c r="D60" s="4">
        <f>SUM(D59)</f>
        <v>35695000</v>
      </c>
    </row>
    <row r="61" spans="1:4" ht="13.5" thickBot="1">
      <c r="A61" s="175"/>
      <c r="B61" s="176" t="s">
        <v>56</v>
      </c>
      <c r="C61" s="185"/>
      <c r="D61" s="186">
        <f>D58+D55+D51+D45+D39+D28+D25+D22+D15+D10+D60</f>
        <v>625049000</v>
      </c>
    </row>
    <row r="62" spans="1:4" s="56" customFormat="1" ht="12">
      <c r="A62" s="33"/>
      <c r="B62" s="5"/>
      <c r="C62" s="49"/>
      <c r="D62" s="178"/>
    </row>
    <row r="63" spans="1:4" s="56" customFormat="1" ht="12">
      <c r="A63" s="33"/>
      <c r="B63" s="5"/>
      <c r="C63" s="49"/>
      <c r="D63" s="178"/>
    </row>
    <row r="66" spans="1:6" ht="12.75">
      <c r="A66" s="547" t="s">
        <v>290</v>
      </c>
      <c r="B66" s="547"/>
      <c r="C66" s="547"/>
      <c r="D66" s="547"/>
      <c r="E66" s="382"/>
      <c r="F66" s="383"/>
    </row>
    <row r="67" spans="1:5" ht="12.75">
      <c r="A67" s="24" t="s">
        <v>1</v>
      </c>
      <c r="B67" s="34" t="s">
        <v>2</v>
      </c>
      <c r="C67" s="34"/>
      <c r="D67" s="11" t="s">
        <v>59</v>
      </c>
      <c r="E67" s="58"/>
    </row>
    <row r="68" spans="1:5" ht="12.75">
      <c r="A68" s="25" t="s">
        <v>3</v>
      </c>
      <c r="B68" s="22" t="s">
        <v>4</v>
      </c>
      <c r="C68" s="22" t="s">
        <v>119</v>
      </c>
      <c r="D68" s="41">
        <v>2014</v>
      </c>
      <c r="E68" s="58"/>
    </row>
    <row r="69" spans="1:5" ht="12.75">
      <c r="A69" s="26">
        <v>1</v>
      </c>
      <c r="B69" s="26">
        <v>2</v>
      </c>
      <c r="C69" s="26">
        <v>3</v>
      </c>
      <c r="D69" s="44">
        <v>4</v>
      </c>
      <c r="E69" s="58"/>
    </row>
    <row r="70" spans="1:5" ht="12.75">
      <c r="A70" s="26"/>
      <c r="B70" s="167">
        <v>711</v>
      </c>
      <c r="C70" s="3" t="s">
        <v>5</v>
      </c>
      <c r="D70" s="180"/>
      <c r="E70" s="58"/>
    </row>
    <row r="71" spans="1:5" ht="12.75">
      <c r="A71" s="27">
        <v>1</v>
      </c>
      <c r="B71" s="7">
        <v>711110</v>
      </c>
      <c r="C71" s="8" t="s">
        <v>6</v>
      </c>
      <c r="D71" s="52">
        <f>190000000+1500000</f>
        <v>191500000</v>
      </c>
      <c r="E71" s="58"/>
    </row>
    <row r="72" spans="1:5" ht="12.75">
      <c r="A72" s="27">
        <f>+A71+1</f>
        <v>2</v>
      </c>
      <c r="B72" s="7">
        <v>711120</v>
      </c>
      <c r="C72" s="8" t="s">
        <v>7</v>
      </c>
      <c r="D72" s="52">
        <v>19500000</v>
      </c>
      <c r="E72" s="58"/>
    </row>
    <row r="73" spans="1:5" ht="12.75">
      <c r="A73" s="27">
        <f>+A72+1</f>
        <v>3</v>
      </c>
      <c r="B73" s="7">
        <v>711140</v>
      </c>
      <c r="C73" s="8" t="s">
        <v>8</v>
      </c>
      <c r="D73" s="52">
        <v>11000000</v>
      </c>
      <c r="E73" s="58"/>
    </row>
    <row r="74" spans="1:5" ht="12.75">
      <c r="A74" s="27">
        <f>+A73+1</f>
        <v>4</v>
      </c>
      <c r="B74" s="7">
        <v>711180</v>
      </c>
      <c r="C74" s="8" t="s">
        <v>9</v>
      </c>
      <c r="D74" s="52">
        <v>7000000</v>
      </c>
      <c r="E74" s="58"/>
    </row>
    <row r="75" spans="1:5" ht="12.75">
      <c r="A75" s="27">
        <f>+A74+1</f>
        <v>5</v>
      </c>
      <c r="B75" s="7">
        <v>711190</v>
      </c>
      <c r="C75" s="9" t="s">
        <v>10</v>
      </c>
      <c r="D75" s="52">
        <v>15500000</v>
      </c>
      <c r="E75" s="58"/>
    </row>
    <row r="76" spans="1:5" ht="12.75">
      <c r="A76" s="26"/>
      <c r="B76" s="26"/>
      <c r="C76" s="3" t="s">
        <v>11</v>
      </c>
      <c r="D76" s="32">
        <f>SUM(D71:D75)</f>
        <v>244500000</v>
      </c>
      <c r="E76" s="58"/>
    </row>
    <row r="77" spans="1:5" ht="12.75">
      <c r="A77" s="27"/>
      <c r="B77" s="28">
        <v>713</v>
      </c>
      <c r="C77" s="169" t="s">
        <v>12</v>
      </c>
      <c r="D77" s="52"/>
      <c r="E77" s="58"/>
    </row>
    <row r="78" spans="1:5" ht="12.75">
      <c r="A78" s="27">
        <f>A75+1</f>
        <v>6</v>
      </c>
      <c r="B78" s="7">
        <v>713120</v>
      </c>
      <c r="C78" s="8" t="s">
        <v>12</v>
      </c>
      <c r="D78" s="52">
        <v>61000000</v>
      </c>
      <c r="E78" s="58"/>
    </row>
    <row r="79" spans="1:5" ht="12.75">
      <c r="A79" s="27">
        <f>+A78+1</f>
        <v>7</v>
      </c>
      <c r="B79" s="7">
        <v>713310</v>
      </c>
      <c r="C79" s="8" t="s">
        <v>13</v>
      </c>
      <c r="D79" s="52">
        <v>5000000</v>
      </c>
      <c r="E79" s="58"/>
    </row>
    <row r="80" spans="1:5" ht="12.75">
      <c r="A80" s="27">
        <f>+A79+1</f>
        <v>8</v>
      </c>
      <c r="B80" s="7">
        <v>713420</v>
      </c>
      <c r="C80" s="8" t="s">
        <v>14</v>
      </c>
      <c r="D80" s="52">
        <v>35000000</v>
      </c>
      <c r="E80" s="58"/>
    </row>
    <row r="81" spans="1:5" ht="12.75">
      <c r="A81" s="26"/>
      <c r="B81" s="26"/>
      <c r="C81" s="3" t="s">
        <v>15</v>
      </c>
      <c r="D81" s="55">
        <f>SUM(D78:D80)</f>
        <v>101000000</v>
      </c>
      <c r="E81" s="58"/>
    </row>
    <row r="82" spans="1:5" ht="12.75">
      <c r="A82" s="27"/>
      <c r="B82" s="28">
        <v>714</v>
      </c>
      <c r="C82" s="169" t="s">
        <v>16</v>
      </c>
      <c r="D82" s="52"/>
      <c r="E82" s="58"/>
    </row>
    <row r="83" spans="1:5" ht="12.75">
      <c r="A83" s="27">
        <f>A80+1</f>
        <v>9</v>
      </c>
      <c r="B83" s="7">
        <v>714430</v>
      </c>
      <c r="C83" s="8" t="s">
        <v>17</v>
      </c>
      <c r="D83" s="52">
        <v>900000</v>
      </c>
      <c r="E83" s="58"/>
    </row>
    <row r="84" spans="1:5" ht="12.75">
      <c r="A84" s="27">
        <f>A83+1</f>
        <v>10</v>
      </c>
      <c r="B84" s="7">
        <v>714510</v>
      </c>
      <c r="C84" s="8" t="s">
        <v>18</v>
      </c>
      <c r="D84" s="52">
        <v>12500000</v>
      </c>
      <c r="E84" s="58"/>
    </row>
    <row r="85" spans="1:5" ht="12.75">
      <c r="A85" s="27">
        <f>A84+1</f>
        <v>11</v>
      </c>
      <c r="B85" s="7">
        <v>714540</v>
      </c>
      <c r="C85" s="8" t="s">
        <v>19</v>
      </c>
      <c r="D85" s="52">
        <v>2130000</v>
      </c>
      <c r="E85" s="58"/>
    </row>
    <row r="86" spans="1:5" ht="12.75">
      <c r="A86" s="27">
        <f>A85+1</f>
        <v>12</v>
      </c>
      <c r="B86" s="7">
        <v>714552</v>
      </c>
      <c r="C86" s="8" t="s">
        <v>20</v>
      </c>
      <c r="D86" s="52">
        <v>36000000</v>
      </c>
      <c r="E86" s="58"/>
    </row>
    <row r="87" spans="1:5" ht="12.75">
      <c r="A87" s="27">
        <f>A86+1</f>
        <v>13</v>
      </c>
      <c r="B87" s="7">
        <v>714570</v>
      </c>
      <c r="C87" s="9" t="s">
        <v>21</v>
      </c>
      <c r="D87" s="52"/>
      <c r="E87" s="58"/>
    </row>
    <row r="88" spans="1:5" ht="12.75">
      <c r="A88" s="27"/>
      <c r="B88" s="7">
        <v>714590</v>
      </c>
      <c r="C88" s="9" t="s">
        <v>125</v>
      </c>
      <c r="D88" s="52">
        <v>2200000</v>
      </c>
      <c r="E88" s="58"/>
    </row>
    <row r="89" spans="1:5" ht="12.75">
      <c r="A89" s="26"/>
      <c r="B89" s="26"/>
      <c r="C89" s="3" t="s">
        <v>22</v>
      </c>
      <c r="D89" s="55">
        <f>SUM(D83:D88)</f>
        <v>53730000</v>
      </c>
      <c r="E89" s="58"/>
    </row>
    <row r="90" spans="1:5" ht="12.75">
      <c r="A90" s="27"/>
      <c r="B90" s="28">
        <v>716</v>
      </c>
      <c r="C90" s="169" t="s">
        <v>23</v>
      </c>
      <c r="D90" s="52"/>
      <c r="E90" s="58"/>
    </row>
    <row r="91" spans="1:5" ht="12.75">
      <c r="A91" s="27">
        <f>A87+1</f>
        <v>14</v>
      </c>
      <c r="B91" s="7">
        <v>716110</v>
      </c>
      <c r="C91" s="9" t="s">
        <v>24</v>
      </c>
      <c r="D91" s="52">
        <v>18000000</v>
      </c>
      <c r="E91" s="58"/>
    </row>
    <row r="92" spans="1:5" ht="12.75">
      <c r="A92" s="26"/>
      <c r="B92" s="26"/>
      <c r="C92" s="3" t="s">
        <v>25</v>
      </c>
      <c r="D92" s="55">
        <f>SUM(D91:D91)</f>
        <v>18000000</v>
      </c>
      <c r="E92" s="58"/>
    </row>
    <row r="93" spans="1:5" ht="12.75">
      <c r="A93" s="33"/>
      <c r="B93" s="2">
        <v>730</v>
      </c>
      <c r="C93" s="169" t="s">
        <v>26</v>
      </c>
      <c r="D93" s="52"/>
      <c r="E93" s="58"/>
    </row>
    <row r="94" spans="1:5" ht="12.75">
      <c r="A94" s="27">
        <f>+A91+1</f>
        <v>15</v>
      </c>
      <c r="B94" s="7">
        <v>733151</v>
      </c>
      <c r="C94" s="9" t="s">
        <v>27</v>
      </c>
      <c r="D94" s="52">
        <v>88815000</v>
      </c>
      <c r="E94" s="58"/>
    </row>
    <row r="95" spans="1:5" ht="12.75">
      <c r="A95" s="26"/>
      <c r="B95" s="26"/>
      <c r="C95" s="3" t="s">
        <v>28</v>
      </c>
      <c r="D95" s="4">
        <f>SUM(D94:D94)</f>
        <v>88815000</v>
      </c>
      <c r="E95" s="58"/>
    </row>
    <row r="96" spans="1:5" ht="12.75">
      <c r="A96" s="27"/>
      <c r="B96" s="28">
        <v>741</v>
      </c>
      <c r="C96" s="169" t="s">
        <v>29</v>
      </c>
      <c r="D96" s="52"/>
      <c r="E96" s="58"/>
    </row>
    <row r="97" spans="1:5" ht="12.75">
      <c r="A97" s="27">
        <f>+A94+1</f>
        <v>16</v>
      </c>
      <c r="B97" s="7">
        <v>741150</v>
      </c>
      <c r="C97" s="8" t="s">
        <v>287</v>
      </c>
      <c r="D97" s="52">
        <v>5000000</v>
      </c>
      <c r="E97" s="58"/>
    </row>
    <row r="98" spans="1:5" ht="12.75">
      <c r="A98" s="27">
        <f>+A97+1</f>
        <v>17</v>
      </c>
      <c r="B98" s="7">
        <v>741531</v>
      </c>
      <c r="C98" s="8" t="s">
        <v>30</v>
      </c>
      <c r="D98" s="52">
        <v>18000000</v>
      </c>
      <c r="E98" s="58"/>
    </row>
    <row r="99" spans="1:5" ht="12.75">
      <c r="A99" s="8"/>
      <c r="B99" s="7"/>
      <c r="C99" s="8" t="s">
        <v>31</v>
      </c>
      <c r="D99" s="52"/>
      <c r="E99" s="58"/>
    </row>
    <row r="100" spans="1:5" ht="12.75">
      <c r="A100" s="27"/>
      <c r="B100" s="7"/>
      <c r="C100" s="8" t="s">
        <v>32</v>
      </c>
      <c r="D100" s="52"/>
      <c r="E100" s="58"/>
    </row>
    <row r="101" spans="1:5" ht="12.75">
      <c r="A101" s="27">
        <f>+A98+1</f>
        <v>18</v>
      </c>
      <c r="B101" s="7">
        <v>741532</v>
      </c>
      <c r="C101" s="8" t="s">
        <v>33</v>
      </c>
      <c r="D101" s="52">
        <v>500000</v>
      </c>
      <c r="E101" s="58"/>
    </row>
    <row r="102" spans="1:5" ht="12.75">
      <c r="A102" s="27">
        <f>+A101+1</f>
        <v>19</v>
      </c>
      <c r="B102" s="7">
        <v>741534</v>
      </c>
      <c r="C102" s="8" t="s">
        <v>34</v>
      </c>
      <c r="D102" s="52">
        <v>11000000</v>
      </c>
      <c r="E102" s="58"/>
    </row>
    <row r="103" spans="1:5" ht="12.75">
      <c r="A103" s="27">
        <f>A102+1</f>
        <v>20</v>
      </c>
      <c r="B103" s="7">
        <v>741535</v>
      </c>
      <c r="C103" s="8" t="s">
        <v>35</v>
      </c>
      <c r="D103" s="52">
        <v>300000</v>
      </c>
      <c r="E103" s="58"/>
    </row>
    <row r="104" spans="1:5" ht="12.75">
      <c r="A104" s="27">
        <f>A103+1</f>
        <v>21</v>
      </c>
      <c r="B104" s="7">
        <v>741540</v>
      </c>
      <c r="C104" s="9" t="s">
        <v>36</v>
      </c>
      <c r="D104" s="52">
        <v>8000000</v>
      </c>
      <c r="E104" s="58"/>
    </row>
    <row r="105" spans="1:5" ht="12.75">
      <c r="A105" s="27">
        <f>A104+1</f>
        <v>22</v>
      </c>
      <c r="B105" s="7">
        <v>741569</v>
      </c>
      <c r="C105" s="9" t="s">
        <v>63</v>
      </c>
      <c r="D105" s="52">
        <v>100000</v>
      </c>
      <c r="E105" s="58"/>
    </row>
    <row r="106" spans="1:5" ht="12.75">
      <c r="A106" s="26"/>
      <c r="B106" s="26"/>
      <c r="C106" s="3" t="s">
        <v>37</v>
      </c>
      <c r="D106" s="4">
        <f>SUM(D97:D105)</f>
        <v>42900000</v>
      </c>
      <c r="E106" s="58"/>
    </row>
    <row r="107" spans="1:5" ht="12.75">
      <c r="A107" s="24"/>
      <c r="B107" s="34"/>
      <c r="C107" s="34"/>
      <c r="D107" s="52"/>
      <c r="E107" s="58"/>
    </row>
    <row r="108" spans="1:5" ht="12.75">
      <c r="A108" s="33"/>
      <c r="B108" s="28">
        <v>742</v>
      </c>
      <c r="C108" s="169" t="s">
        <v>38</v>
      </c>
      <c r="D108" s="52"/>
      <c r="E108" s="58"/>
    </row>
    <row r="109" spans="1:5" ht="12.75">
      <c r="A109" s="27">
        <f>A105+1</f>
        <v>23</v>
      </c>
      <c r="B109" s="7">
        <v>742153</v>
      </c>
      <c r="C109" s="8" t="s">
        <v>126</v>
      </c>
      <c r="D109" s="52">
        <v>1000000</v>
      </c>
      <c r="E109" s="58"/>
    </row>
    <row r="110" spans="1:5" ht="12.75">
      <c r="A110" s="27">
        <f>A109+1</f>
        <v>24</v>
      </c>
      <c r="B110" s="7">
        <v>742251</v>
      </c>
      <c r="C110" s="172" t="s">
        <v>39</v>
      </c>
      <c r="D110" s="52">
        <v>3900000</v>
      </c>
      <c r="E110" s="58"/>
    </row>
    <row r="111" spans="1:5" ht="12.75">
      <c r="A111" s="27">
        <f>A110+1</f>
        <v>25</v>
      </c>
      <c r="B111" s="7">
        <v>742253</v>
      </c>
      <c r="C111" s="8" t="s">
        <v>40</v>
      </c>
      <c r="D111" s="52">
        <v>60000000</v>
      </c>
      <c r="E111" s="58"/>
    </row>
    <row r="112" spans="1:5" ht="12.75">
      <c r="A112" s="27">
        <f>A111+1</f>
        <v>26</v>
      </c>
      <c r="B112" s="7">
        <v>742351</v>
      </c>
      <c r="C112" s="9" t="s">
        <v>41</v>
      </c>
      <c r="D112" s="52">
        <v>2200000</v>
      </c>
      <c r="E112" s="58"/>
    </row>
    <row r="113" spans="1:5" ht="12.75">
      <c r="A113" s="26"/>
      <c r="B113" s="26"/>
      <c r="C113" s="3" t="s">
        <v>42</v>
      </c>
      <c r="D113" s="32">
        <f>SUM(D109:D112)</f>
        <v>67100000</v>
      </c>
      <c r="E113" s="58"/>
    </row>
    <row r="114" spans="1:5" ht="12.75">
      <c r="A114" s="27"/>
      <c r="B114" s="28">
        <v>743</v>
      </c>
      <c r="C114" s="169" t="s">
        <v>43</v>
      </c>
      <c r="D114" s="52"/>
      <c r="E114" s="58"/>
    </row>
    <row r="115" spans="1:5" ht="12.75">
      <c r="A115" s="27">
        <f>A112+1</f>
        <v>27</v>
      </c>
      <c r="B115" s="7">
        <v>743324</v>
      </c>
      <c r="C115" s="8" t="s">
        <v>44</v>
      </c>
      <c r="D115" s="52">
        <v>5300000</v>
      </c>
      <c r="E115" s="58"/>
    </row>
    <row r="116" spans="1:5" ht="12.75">
      <c r="A116" s="27">
        <f>A115+1</f>
        <v>28</v>
      </c>
      <c r="B116" s="7">
        <v>743351</v>
      </c>
      <c r="C116" s="8" t="s">
        <v>45</v>
      </c>
      <c r="D116" s="52">
        <v>600000</v>
      </c>
      <c r="E116" s="58"/>
    </row>
    <row r="117" spans="1:5" ht="12.75">
      <c r="A117" s="27"/>
      <c r="B117" s="7"/>
      <c r="C117" s="8" t="s">
        <v>46</v>
      </c>
      <c r="D117" s="52"/>
      <c r="E117" s="58"/>
    </row>
    <row r="118" spans="1:5" ht="12.75">
      <c r="A118" s="27"/>
      <c r="B118" s="7"/>
      <c r="C118" s="9" t="s">
        <v>47</v>
      </c>
      <c r="D118" s="52"/>
      <c r="E118" s="58"/>
    </row>
    <row r="119" spans="1:5" ht="12.75">
      <c r="A119" s="26"/>
      <c r="B119" s="26"/>
      <c r="C119" s="3" t="s">
        <v>48</v>
      </c>
      <c r="D119" s="4">
        <f>SUM(D115:D118)</f>
        <v>5900000</v>
      </c>
      <c r="E119" s="58"/>
    </row>
    <row r="120" spans="1:5" ht="12.75">
      <c r="A120" s="27"/>
      <c r="B120" s="2">
        <v>744</v>
      </c>
      <c r="C120" s="5" t="s">
        <v>49</v>
      </c>
      <c r="D120" s="52"/>
      <c r="E120" s="58"/>
    </row>
    <row r="121" spans="1:5" ht="12.75">
      <c r="A121" s="27">
        <f>A116+1</f>
        <v>29</v>
      </c>
      <c r="B121" s="33">
        <v>744151</v>
      </c>
      <c r="C121" s="9" t="s">
        <v>50</v>
      </c>
      <c r="D121" s="52">
        <v>5000000</v>
      </c>
      <c r="E121" s="58"/>
    </row>
    <row r="122" spans="1:5" ht="12.75">
      <c r="A122" s="27"/>
      <c r="B122" s="33"/>
      <c r="C122" s="9" t="s">
        <v>51</v>
      </c>
      <c r="D122" s="52"/>
      <c r="E122" s="58"/>
    </row>
    <row r="123" spans="1:5" ht="12.75">
      <c r="A123" s="26"/>
      <c r="B123" s="26"/>
      <c r="C123" s="3" t="s">
        <v>52</v>
      </c>
      <c r="D123" s="4">
        <f>D121</f>
        <v>5000000</v>
      </c>
      <c r="E123" s="58"/>
    </row>
    <row r="124" spans="1:5" ht="12.75">
      <c r="A124" s="27"/>
      <c r="B124" s="28">
        <v>745</v>
      </c>
      <c r="C124" s="169" t="s">
        <v>53</v>
      </c>
      <c r="D124" s="52"/>
      <c r="E124" s="58"/>
    </row>
    <row r="125" spans="1:5" ht="12.75">
      <c r="A125" s="27">
        <f>A121+1</f>
        <v>30</v>
      </c>
      <c r="B125" s="27">
        <v>745150</v>
      </c>
      <c r="C125" s="9" t="s">
        <v>54</v>
      </c>
      <c r="D125" s="52">
        <v>2500000</v>
      </c>
      <c r="E125" s="58"/>
    </row>
    <row r="126" spans="1:5" ht="12.75">
      <c r="A126" s="26"/>
      <c r="B126" s="26"/>
      <c r="C126" s="3" t="s">
        <v>55</v>
      </c>
      <c r="D126" s="55">
        <f>SUM(D125:D125)</f>
        <v>2500000</v>
      </c>
      <c r="E126" s="58"/>
    </row>
    <row r="127" spans="1:5" ht="12.75">
      <c r="A127" s="25">
        <f>+A125+1</f>
        <v>31</v>
      </c>
      <c r="B127" s="25">
        <v>813151</v>
      </c>
      <c r="C127" s="173" t="s">
        <v>65</v>
      </c>
      <c r="D127" s="55"/>
      <c r="E127" s="58"/>
    </row>
    <row r="128" spans="1:5" ht="12.75">
      <c r="A128" s="26"/>
      <c r="B128" s="26"/>
      <c r="C128" s="48" t="s">
        <v>127</v>
      </c>
      <c r="D128" s="52">
        <f>97932000+1400000+500000+150000</f>
        <v>99982000</v>
      </c>
      <c r="E128" s="58"/>
    </row>
    <row r="129" spans="1:5" ht="13.5" thickBot="1">
      <c r="A129" s="175"/>
      <c r="B129" s="176" t="s">
        <v>56</v>
      </c>
      <c r="C129" s="177"/>
      <c r="D129" s="63">
        <f>D128+D126+D123+D119+D113+D106+D95+D92+D89+D81+D76</f>
        <v>729427000</v>
      </c>
      <c r="E129" s="58"/>
    </row>
    <row r="130" spans="4:5" ht="12.75">
      <c r="D130" s="58"/>
      <c r="E130" s="58"/>
    </row>
    <row r="131" spans="4:5" ht="12.75">
      <c r="D131" s="58"/>
      <c r="E131" s="58"/>
    </row>
    <row r="132" spans="4:5" ht="12.75">
      <c r="D132" s="58"/>
      <c r="E132" s="58"/>
    </row>
    <row r="133" spans="4:5" ht="12.75">
      <c r="D133" s="58"/>
      <c r="E133" s="58"/>
    </row>
    <row r="134" spans="4:5" ht="12.75">
      <c r="D134" s="58"/>
      <c r="E134" s="58"/>
    </row>
    <row r="135" spans="4:5" ht="12.75">
      <c r="D135" s="58"/>
      <c r="E135" s="58"/>
    </row>
    <row r="136" spans="4:5" ht="12.75">
      <c r="D136" s="58"/>
      <c r="E136" s="58"/>
    </row>
    <row r="137" spans="4:5" ht="12.75">
      <c r="D137" s="58"/>
      <c r="E137" s="58"/>
    </row>
    <row r="138" spans="4:5" ht="12.75">
      <c r="D138" s="58"/>
      <c r="E138" s="58"/>
    </row>
    <row r="139" spans="4:5" ht="12.75">
      <c r="D139" s="58"/>
      <c r="E139" s="58"/>
    </row>
    <row r="140" spans="4:5" ht="12.75">
      <c r="D140" s="58"/>
      <c r="E140" s="58"/>
    </row>
    <row r="141" spans="4:5" ht="12.75">
      <c r="D141" s="58"/>
      <c r="E141" s="58"/>
    </row>
    <row r="142" spans="4:5" ht="12.75">
      <c r="D142" s="58"/>
      <c r="E142" s="58"/>
    </row>
    <row r="143" spans="4:5" ht="12.75">
      <c r="D143" s="58"/>
      <c r="E143" s="58"/>
    </row>
    <row r="144" spans="4:5" ht="12.75">
      <c r="D144" s="58"/>
      <c r="E144" s="58"/>
    </row>
    <row r="145" spans="4:5" ht="12.75">
      <c r="D145" s="58"/>
      <c r="E145" s="58"/>
    </row>
    <row r="146" spans="4:5" ht="12.75">
      <c r="D146" s="58"/>
      <c r="E146" s="58"/>
    </row>
    <row r="147" spans="4:5" ht="12.75">
      <c r="D147" s="58"/>
      <c r="E147" s="58"/>
    </row>
    <row r="148" spans="4:5" ht="12.75">
      <c r="D148" s="58"/>
      <c r="E148" s="58"/>
    </row>
    <row r="149" spans="4:5" ht="12.75">
      <c r="D149" s="58"/>
      <c r="E149" s="58"/>
    </row>
    <row r="150" spans="4:5" ht="12.75">
      <c r="D150" s="58"/>
      <c r="E150" s="58"/>
    </row>
    <row r="151" spans="4:5" ht="12.75">
      <c r="D151" s="58"/>
      <c r="E151" s="58"/>
    </row>
    <row r="152" spans="4:5" ht="12.75">
      <c r="D152" s="58"/>
      <c r="E152" s="58"/>
    </row>
    <row r="153" spans="4:5" ht="12.75">
      <c r="D153" s="58"/>
      <c r="E153" s="58"/>
    </row>
    <row r="154" spans="4:5" ht="12.75">
      <c r="D154" s="58"/>
      <c r="E154" s="58"/>
    </row>
  </sheetData>
  <sheetProtection/>
  <mergeCells count="1">
    <mergeCell ref="A66:D6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D24" sqref="D24"/>
    </sheetView>
  </sheetViews>
  <sheetFormatPr defaultColWidth="9.140625" defaultRowHeight="12.75"/>
  <cols>
    <col min="1" max="1" width="9.421875" style="54" bestFit="1" customWidth="1"/>
    <col min="2" max="2" width="9.421875" style="60" bestFit="1" customWidth="1"/>
    <col min="3" max="3" width="43.57421875" style="58" customWidth="1"/>
    <col min="4" max="5" width="15.421875" style="65" customWidth="1"/>
    <col min="6" max="6" width="9.8515625" style="65" customWidth="1"/>
    <col min="7" max="7" width="9.57421875" style="58" bestFit="1" customWidth="1"/>
    <col min="8" max="9" width="10.421875" style="58" customWidth="1"/>
    <col min="10" max="10" width="11.7109375" style="58" bestFit="1" customWidth="1"/>
    <col min="11" max="16384" width="9.140625" style="58" customWidth="1"/>
  </cols>
  <sheetData>
    <row r="1" ht="12.75">
      <c r="A1" s="5" t="s">
        <v>369</v>
      </c>
    </row>
    <row r="4" spans="1:6" s="56" customFormat="1" ht="12">
      <c r="A4" s="24" t="s">
        <v>1</v>
      </c>
      <c r="B4" s="24" t="s">
        <v>363</v>
      </c>
      <c r="C4" s="34"/>
      <c r="D4" s="11" t="s">
        <v>59</v>
      </c>
      <c r="E4" s="11" t="s">
        <v>118</v>
      </c>
      <c r="F4" s="46" t="s">
        <v>62</v>
      </c>
    </row>
    <row r="5" spans="1:6" s="56" customFormat="1" ht="12">
      <c r="A5" s="25" t="s">
        <v>3</v>
      </c>
      <c r="B5" s="25" t="s">
        <v>4</v>
      </c>
      <c r="C5" s="25" t="s">
        <v>119</v>
      </c>
      <c r="D5" s="41">
        <v>2014</v>
      </c>
      <c r="E5" s="41" t="s">
        <v>384</v>
      </c>
      <c r="F5" s="45" t="s">
        <v>360</v>
      </c>
    </row>
    <row r="6" spans="1:6" s="56" customFormat="1" ht="12">
      <c r="A6" s="26">
        <v>1</v>
      </c>
      <c r="B6" s="26">
        <v>2</v>
      </c>
      <c r="C6" s="26">
        <v>3</v>
      </c>
      <c r="D6" s="43">
        <v>4</v>
      </c>
      <c r="E6" s="43">
        <v>5</v>
      </c>
      <c r="F6" s="44">
        <v>6</v>
      </c>
    </row>
    <row r="7" spans="1:12" s="56" customFormat="1" ht="12">
      <c r="A7" s="26"/>
      <c r="B7" s="167">
        <v>711</v>
      </c>
      <c r="C7" s="3" t="s">
        <v>5</v>
      </c>
      <c r="D7" s="55"/>
      <c r="E7" s="55"/>
      <c r="F7" s="57"/>
      <c r="I7" s="67"/>
      <c r="J7" s="67"/>
      <c r="K7" s="67"/>
      <c r="L7" s="67"/>
    </row>
    <row r="8" spans="1:12" s="56" customFormat="1" ht="12">
      <c r="A8" s="27">
        <v>3</v>
      </c>
      <c r="B8" s="7">
        <v>711140</v>
      </c>
      <c r="C8" s="8" t="s">
        <v>8</v>
      </c>
      <c r="D8" s="30">
        <v>11000000</v>
      </c>
      <c r="E8" s="30">
        <v>894713.65</v>
      </c>
      <c r="F8" s="181">
        <v>8.133760454545454</v>
      </c>
      <c r="G8" s="52">
        <v>1789427.3000000003</v>
      </c>
      <c r="H8" s="30">
        <v>3000000</v>
      </c>
      <c r="I8" s="67"/>
      <c r="J8" s="67"/>
      <c r="K8" s="67"/>
      <c r="L8" s="67"/>
    </row>
    <row r="9" spans="1:12" s="56" customFormat="1" ht="12">
      <c r="A9" s="27"/>
      <c r="B9" s="28">
        <v>713</v>
      </c>
      <c r="C9" s="169" t="s">
        <v>12</v>
      </c>
      <c r="D9" s="30"/>
      <c r="E9" s="30"/>
      <c r="F9" s="181"/>
      <c r="G9" s="52"/>
      <c r="H9" s="30"/>
      <c r="I9" s="67"/>
      <c r="J9" s="67"/>
      <c r="K9" s="67"/>
      <c r="L9" s="67"/>
    </row>
    <row r="10" spans="1:12" s="56" customFormat="1" ht="12">
      <c r="A10" s="27">
        <v>10</v>
      </c>
      <c r="B10" s="7">
        <v>713310</v>
      </c>
      <c r="C10" s="8" t="s">
        <v>13</v>
      </c>
      <c r="D10" s="30">
        <v>5000000</v>
      </c>
      <c r="E10" s="30">
        <v>1652219.6</v>
      </c>
      <c r="F10" s="181">
        <v>33.044392</v>
      </c>
      <c r="G10" s="52">
        <v>3304439.2</v>
      </c>
      <c r="H10" s="30">
        <v>5000000</v>
      </c>
      <c r="I10" s="67"/>
      <c r="J10" s="67"/>
      <c r="K10" s="67"/>
      <c r="L10" s="67"/>
    </row>
    <row r="11" spans="1:12" s="56" customFormat="1" ht="12">
      <c r="A11" s="27"/>
      <c r="B11" s="28">
        <v>714</v>
      </c>
      <c r="C11" s="169" t="s">
        <v>16</v>
      </c>
      <c r="D11" s="30"/>
      <c r="E11" s="30"/>
      <c r="F11" s="181"/>
      <c r="G11" s="52"/>
      <c r="H11" s="30"/>
      <c r="I11" s="67"/>
      <c r="J11" s="67"/>
      <c r="K11" s="67"/>
      <c r="L11" s="67"/>
    </row>
    <row r="12" spans="1:10" s="56" customFormat="1" ht="12">
      <c r="A12" s="27">
        <v>15</v>
      </c>
      <c r="B12" s="7">
        <v>714552</v>
      </c>
      <c r="C12" s="8" t="s">
        <v>20</v>
      </c>
      <c r="D12" s="30">
        <v>36390000</v>
      </c>
      <c r="E12" s="30">
        <v>6768333.15</v>
      </c>
      <c r="F12" s="181">
        <v>18.59943157460841</v>
      </c>
      <c r="G12" s="52">
        <v>13536666.3</v>
      </c>
      <c r="H12" s="30">
        <v>20000000</v>
      </c>
      <c r="J12" s="67"/>
    </row>
    <row r="13" spans="1:10" s="56" customFormat="1" ht="12">
      <c r="A13" s="27">
        <v>17</v>
      </c>
      <c r="B13" s="7">
        <v>714590</v>
      </c>
      <c r="C13" s="9" t="s">
        <v>125</v>
      </c>
      <c r="D13" s="30">
        <v>2200000</v>
      </c>
      <c r="E13" s="30">
        <v>208418.8</v>
      </c>
      <c r="F13" s="181">
        <v>9.473581818181817</v>
      </c>
      <c r="G13" s="52">
        <v>416837.6</v>
      </c>
      <c r="H13" s="30">
        <v>2200000</v>
      </c>
      <c r="J13" s="67"/>
    </row>
    <row r="14" spans="1:8" s="56" customFormat="1" ht="12">
      <c r="A14" s="27"/>
      <c r="B14" s="28">
        <v>741</v>
      </c>
      <c r="C14" s="169" t="s">
        <v>29</v>
      </c>
      <c r="D14" s="30"/>
      <c r="E14" s="30"/>
      <c r="F14" s="181"/>
      <c r="G14" s="52"/>
      <c r="H14" s="30"/>
    </row>
    <row r="15" spans="1:8" s="56" customFormat="1" ht="12">
      <c r="A15" s="27">
        <v>27</v>
      </c>
      <c r="B15" s="7">
        <v>741535</v>
      </c>
      <c r="C15" s="8" t="s">
        <v>288</v>
      </c>
      <c r="D15" s="30">
        <v>1500000</v>
      </c>
      <c r="E15" s="30">
        <v>401251.6</v>
      </c>
      <c r="F15" s="181">
        <v>26.750106666666667</v>
      </c>
      <c r="G15" s="52">
        <v>802503.2</v>
      </c>
      <c r="H15" s="30">
        <v>1500000</v>
      </c>
    </row>
    <row r="16" spans="1:8" s="56" customFormat="1" ht="12">
      <c r="A16" s="33"/>
      <c r="B16" s="28">
        <v>742</v>
      </c>
      <c r="C16" s="169" t="s">
        <v>38</v>
      </c>
      <c r="D16" s="171"/>
      <c r="E16" s="171"/>
      <c r="F16" s="73"/>
      <c r="G16" s="52"/>
      <c r="H16" s="171"/>
    </row>
    <row r="17" spans="1:8" s="56" customFormat="1" ht="12">
      <c r="A17" s="27">
        <v>31</v>
      </c>
      <c r="B17" s="7">
        <v>742251</v>
      </c>
      <c r="C17" s="172" t="s">
        <v>39</v>
      </c>
      <c r="D17" s="30">
        <v>3900000</v>
      </c>
      <c r="E17" s="30">
        <v>887281.2</v>
      </c>
      <c r="F17" s="181">
        <v>22.750799999999998</v>
      </c>
      <c r="G17" s="52">
        <v>1774562.4</v>
      </c>
      <c r="H17" s="30">
        <v>2000000</v>
      </c>
    </row>
    <row r="18" spans="1:8" s="56" customFormat="1" ht="12">
      <c r="A18" s="27"/>
      <c r="B18" s="2">
        <v>744</v>
      </c>
      <c r="C18" s="5" t="s">
        <v>49</v>
      </c>
      <c r="D18" s="30"/>
      <c r="E18" s="30"/>
      <c r="F18" s="181"/>
      <c r="G18" s="52"/>
      <c r="H18" s="30"/>
    </row>
    <row r="19" spans="1:8" s="56" customFormat="1" ht="12">
      <c r="A19" s="27">
        <v>36</v>
      </c>
      <c r="B19" s="33">
        <v>744151</v>
      </c>
      <c r="C19" s="9" t="s">
        <v>50</v>
      </c>
      <c r="D19" s="30">
        <v>5000000</v>
      </c>
      <c r="E19" s="30">
        <v>1326955.31</v>
      </c>
      <c r="F19" s="181">
        <v>26.539106200000003</v>
      </c>
      <c r="G19" s="52">
        <v>2653910.62</v>
      </c>
      <c r="H19" s="30">
        <v>5000000</v>
      </c>
    </row>
    <row r="20" spans="1:8" s="56" customFormat="1" ht="12">
      <c r="A20" s="27"/>
      <c r="B20" s="33"/>
      <c r="C20" s="9" t="s">
        <v>51</v>
      </c>
      <c r="D20" s="30"/>
      <c r="E20" s="30"/>
      <c r="F20" s="181"/>
      <c r="G20" s="52">
        <v>0</v>
      </c>
      <c r="H20" s="30"/>
    </row>
    <row r="21" spans="1:8" s="56" customFormat="1" ht="12">
      <c r="A21" s="33"/>
      <c r="B21" s="168">
        <v>811</v>
      </c>
      <c r="C21" s="5" t="s">
        <v>386</v>
      </c>
      <c r="D21" s="6"/>
      <c r="E21" s="6"/>
      <c r="F21" s="442"/>
      <c r="G21" s="62"/>
      <c r="H21" s="6"/>
    </row>
    <row r="22" spans="1:8" s="56" customFormat="1" ht="12">
      <c r="A22" s="25">
        <v>38</v>
      </c>
      <c r="B22" s="25">
        <v>813151</v>
      </c>
      <c r="C22" s="173" t="s">
        <v>65</v>
      </c>
      <c r="D22" s="426">
        <v>132500403</v>
      </c>
      <c r="E22" s="426">
        <v>8020000</v>
      </c>
      <c r="F22" s="183">
        <v>6.0528117789951175</v>
      </c>
      <c r="G22" s="53">
        <v>16040000</v>
      </c>
      <c r="H22" s="426">
        <v>132500403</v>
      </c>
    </row>
    <row r="23" spans="4:5" ht="12.75">
      <c r="D23" s="75">
        <f>SUM(D8:D22)</f>
        <v>197490403</v>
      </c>
      <c r="E23" s="75">
        <f>SUM(E8:E22)</f>
        <v>20159173.310000002</v>
      </c>
    </row>
    <row r="24" spans="4:5" ht="12.75">
      <c r="D24" s="65">
        <f>D22/D23*100</f>
        <v>67.09207181069958</v>
      </c>
      <c r="E24" s="398"/>
    </row>
    <row r="25" ht="12.75">
      <c r="E25" s="398"/>
    </row>
    <row r="26" ht="12.75">
      <c r="E26" s="398"/>
    </row>
    <row r="27" ht="12.75">
      <c r="E27" s="398"/>
    </row>
    <row r="28" ht="12.75">
      <c r="E28" s="39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60" customWidth="1"/>
    <col min="3" max="3" width="45.00390625" style="60" customWidth="1"/>
    <col min="4" max="4" width="14.7109375" style="54" customWidth="1"/>
    <col min="5" max="16384" width="9.140625" style="60" customWidth="1"/>
  </cols>
  <sheetData>
    <row r="1" spans="1:4" ht="12.75">
      <c r="A1" s="340" t="s">
        <v>289</v>
      </c>
      <c r="B1" s="340"/>
      <c r="C1" s="340"/>
      <c r="D1" s="52"/>
    </row>
    <row r="2" spans="1:4" ht="12.75">
      <c r="A2" s="340"/>
      <c r="B2" s="340"/>
      <c r="C2" s="340"/>
      <c r="D2" s="52"/>
    </row>
    <row r="3" spans="1:4" ht="12.75">
      <c r="A3" s="341"/>
      <c r="B3" s="341"/>
      <c r="C3" s="341"/>
      <c r="D3" s="52"/>
    </row>
    <row r="4" spans="1:4" ht="12.75">
      <c r="A4" s="341" t="s">
        <v>290</v>
      </c>
      <c r="B4" s="341"/>
      <c r="C4" s="341"/>
      <c r="D4" s="52"/>
    </row>
    <row r="5" spans="1:4" ht="12.75">
      <c r="A5" s="342" t="s">
        <v>1</v>
      </c>
      <c r="B5" s="343" t="s">
        <v>2</v>
      </c>
      <c r="C5" s="343"/>
      <c r="D5" s="11" t="s">
        <v>59</v>
      </c>
    </row>
    <row r="6" spans="1:4" ht="12.75">
      <c r="A6" s="344" t="s">
        <v>3</v>
      </c>
      <c r="B6" s="345" t="s">
        <v>4</v>
      </c>
      <c r="C6" s="345" t="s">
        <v>119</v>
      </c>
      <c r="D6" s="346">
        <v>2014</v>
      </c>
    </row>
    <row r="7" spans="1:4" ht="12.75">
      <c r="A7" s="347">
        <v>1</v>
      </c>
      <c r="B7" s="347">
        <v>2</v>
      </c>
      <c r="C7" s="347">
        <v>3</v>
      </c>
      <c r="D7" s="43"/>
    </row>
    <row r="8" spans="1:4" ht="12.75">
      <c r="A8" s="348"/>
      <c r="B8" s="349">
        <v>321121</v>
      </c>
      <c r="C8" s="341" t="s">
        <v>120</v>
      </c>
      <c r="D8" s="55"/>
    </row>
    <row r="9" spans="1:4" ht="12.75">
      <c r="A9" s="347"/>
      <c r="B9" s="350">
        <v>711</v>
      </c>
      <c r="C9" s="351" t="s">
        <v>5</v>
      </c>
      <c r="D9" s="55"/>
    </row>
    <row r="10" spans="1:4" ht="12.75">
      <c r="A10" s="352">
        <v>1</v>
      </c>
      <c r="B10" s="353">
        <v>711110</v>
      </c>
      <c r="C10" s="172" t="s">
        <v>6</v>
      </c>
      <c r="D10" s="52">
        <v>190000000</v>
      </c>
    </row>
    <row r="11" spans="1:4" ht="12.75">
      <c r="A11" s="352">
        <f>+A10+1</f>
        <v>2</v>
      </c>
      <c r="B11" s="353">
        <v>711120</v>
      </c>
      <c r="C11" s="172" t="s">
        <v>7</v>
      </c>
      <c r="D11" s="52">
        <v>19500000</v>
      </c>
    </row>
    <row r="12" spans="1:4" ht="12.75">
      <c r="A12" s="352">
        <f>+A11+1</f>
        <v>3</v>
      </c>
      <c r="B12" s="353">
        <v>711140</v>
      </c>
      <c r="C12" s="172" t="s">
        <v>8</v>
      </c>
      <c r="D12" s="52">
        <v>11000000</v>
      </c>
    </row>
    <row r="13" spans="1:4" ht="12.75">
      <c r="A13" s="352"/>
      <c r="B13" s="353">
        <v>711160</v>
      </c>
      <c r="C13" s="172" t="s">
        <v>121</v>
      </c>
      <c r="D13" s="52"/>
    </row>
    <row r="14" spans="1:4" ht="12.75">
      <c r="A14" s="352">
        <f>+A12+1</f>
        <v>4</v>
      </c>
      <c r="B14" s="353">
        <v>711180</v>
      </c>
      <c r="C14" s="172" t="s">
        <v>9</v>
      </c>
      <c r="D14" s="338">
        <v>7000000</v>
      </c>
    </row>
    <row r="15" spans="1:4" ht="12.75">
      <c r="A15" s="352">
        <f>+A14+1</f>
        <v>5</v>
      </c>
      <c r="B15" s="353">
        <v>711190</v>
      </c>
      <c r="C15" s="354" t="s">
        <v>10</v>
      </c>
      <c r="D15" s="52">
        <v>15500000</v>
      </c>
    </row>
    <row r="16" spans="1:4" ht="12.75">
      <c r="A16" s="347"/>
      <c r="B16" s="347"/>
      <c r="C16" s="351" t="s">
        <v>11</v>
      </c>
      <c r="D16" s="32">
        <f>SUM(D10:D15)</f>
        <v>243000000</v>
      </c>
    </row>
    <row r="17" spans="1:4" ht="12.75">
      <c r="A17" s="346"/>
      <c r="B17" s="355">
        <v>712</v>
      </c>
      <c r="C17" s="356" t="s">
        <v>122</v>
      </c>
      <c r="D17" s="52"/>
    </row>
    <row r="18" spans="1:4" ht="12.75">
      <c r="A18" s="346"/>
      <c r="B18" s="346">
        <v>712112</v>
      </c>
      <c r="C18" s="357" t="s">
        <v>123</v>
      </c>
      <c r="D18" s="52"/>
    </row>
    <row r="19" spans="1:4" ht="12.75">
      <c r="A19" s="347"/>
      <c r="B19" s="347"/>
      <c r="C19" s="358" t="s">
        <v>124</v>
      </c>
      <c r="D19" s="32">
        <f>D18</f>
        <v>0</v>
      </c>
    </row>
    <row r="20" spans="1:4" ht="12.75">
      <c r="A20" s="352"/>
      <c r="B20" s="359">
        <v>713</v>
      </c>
      <c r="C20" s="360" t="s">
        <v>12</v>
      </c>
      <c r="D20" s="52"/>
    </row>
    <row r="21" spans="1:4" ht="12.75">
      <c r="A21" s="352">
        <f>A15+1</f>
        <v>6</v>
      </c>
      <c r="B21" s="353">
        <v>713120</v>
      </c>
      <c r="C21" s="172" t="s">
        <v>12</v>
      </c>
      <c r="D21" s="52">
        <v>60000000</v>
      </c>
    </row>
    <row r="22" spans="1:4" ht="12.75">
      <c r="A22" s="352">
        <f>+A21+1</f>
        <v>7</v>
      </c>
      <c r="B22" s="353">
        <v>713310</v>
      </c>
      <c r="C22" s="172" t="s">
        <v>13</v>
      </c>
      <c r="D22" s="52">
        <v>4300000</v>
      </c>
    </row>
    <row r="23" spans="1:4" ht="12.75">
      <c r="A23" s="352">
        <f>+A22+1</f>
        <v>8</v>
      </c>
      <c r="B23" s="353">
        <v>713420</v>
      </c>
      <c r="C23" s="172" t="s">
        <v>14</v>
      </c>
      <c r="D23" s="52">
        <v>35000000</v>
      </c>
    </row>
    <row r="24" spans="1:4" ht="12.75">
      <c r="A24" s="347"/>
      <c r="B24" s="347"/>
      <c r="C24" s="351" t="s">
        <v>15</v>
      </c>
      <c r="D24" s="55">
        <f>SUM(D21:D23)</f>
        <v>99300000</v>
      </c>
    </row>
    <row r="25" spans="1:4" ht="12.75">
      <c r="A25" s="352"/>
      <c r="B25" s="359">
        <v>714</v>
      </c>
      <c r="C25" s="360" t="s">
        <v>16</v>
      </c>
      <c r="D25" s="52"/>
    </row>
    <row r="26" spans="1:4" ht="12.75">
      <c r="A26" s="352">
        <f>A23+1</f>
        <v>9</v>
      </c>
      <c r="B26" s="353">
        <v>714430</v>
      </c>
      <c r="C26" s="172" t="s">
        <v>17</v>
      </c>
      <c r="D26" s="52"/>
    </row>
    <row r="27" spans="1:4" ht="12.75">
      <c r="A27" s="352">
        <f>A26+1</f>
        <v>10</v>
      </c>
      <c r="B27" s="353">
        <v>714510</v>
      </c>
      <c r="C27" s="172" t="s">
        <v>18</v>
      </c>
      <c r="D27" s="52">
        <v>12500000</v>
      </c>
    </row>
    <row r="28" spans="1:4" ht="12.75">
      <c r="A28" s="352">
        <f>A27+1</f>
        <v>11</v>
      </c>
      <c r="B28" s="353">
        <v>714540</v>
      </c>
      <c r="C28" s="172" t="s">
        <v>19</v>
      </c>
      <c r="D28" s="52">
        <v>2130000</v>
      </c>
    </row>
    <row r="29" spans="1:4" ht="12.75">
      <c r="A29" s="352">
        <f>A28+1</f>
        <v>12</v>
      </c>
      <c r="B29" s="353">
        <v>714552</v>
      </c>
      <c r="C29" s="172" t="s">
        <v>20</v>
      </c>
      <c r="D29" s="52">
        <v>35000000</v>
      </c>
    </row>
    <row r="30" spans="1:4" ht="12.75">
      <c r="A30" s="352">
        <f>A29+1</f>
        <v>13</v>
      </c>
      <c r="B30" s="353">
        <v>714570</v>
      </c>
      <c r="C30" s="354" t="s">
        <v>21</v>
      </c>
      <c r="D30" s="52"/>
    </row>
    <row r="31" spans="1:4" ht="12.75">
      <c r="A31" s="352"/>
      <c r="B31" s="353">
        <v>714590</v>
      </c>
      <c r="C31" s="354" t="s">
        <v>125</v>
      </c>
      <c r="D31" s="52">
        <v>2200000</v>
      </c>
    </row>
    <row r="32" spans="1:4" ht="12.75">
      <c r="A32" s="347"/>
      <c r="B32" s="347"/>
      <c r="C32" s="351" t="s">
        <v>22</v>
      </c>
      <c r="D32" s="55">
        <f>SUM(D27:D31)</f>
        <v>51830000</v>
      </c>
    </row>
    <row r="33" spans="1:4" ht="12.75">
      <c r="A33" s="352"/>
      <c r="B33" s="359">
        <v>716</v>
      </c>
      <c r="C33" s="360" t="s">
        <v>23</v>
      </c>
      <c r="D33" s="52"/>
    </row>
    <row r="34" spans="1:4" ht="12.75">
      <c r="A34" s="352">
        <f>A30+1</f>
        <v>14</v>
      </c>
      <c r="B34" s="353">
        <v>716110</v>
      </c>
      <c r="C34" s="354" t="s">
        <v>24</v>
      </c>
      <c r="D34" s="52">
        <v>18000000</v>
      </c>
    </row>
    <row r="35" spans="1:4" ht="12.75">
      <c r="A35" s="347"/>
      <c r="B35" s="347"/>
      <c r="C35" s="351" t="s">
        <v>25</v>
      </c>
      <c r="D35" s="55">
        <f>SUM(D34:D34)</f>
        <v>18000000</v>
      </c>
    </row>
    <row r="36" spans="1:4" ht="12.75">
      <c r="A36" s="346"/>
      <c r="B36" s="355">
        <v>732</v>
      </c>
      <c r="C36" s="340"/>
      <c r="D36" s="52"/>
    </row>
    <row r="37" spans="1:4" ht="12.75">
      <c r="A37" s="346">
        <f>A34+1</f>
        <v>15</v>
      </c>
      <c r="B37" s="361">
        <v>732150</v>
      </c>
      <c r="C37" s="357" t="s">
        <v>60</v>
      </c>
      <c r="D37" s="52">
        <v>0</v>
      </c>
    </row>
    <row r="38" spans="1:4" ht="12.75">
      <c r="A38" s="347"/>
      <c r="B38" s="347"/>
      <c r="C38" s="351" t="s">
        <v>61</v>
      </c>
      <c r="D38" s="4">
        <f>SUM(D37)</f>
        <v>0</v>
      </c>
    </row>
    <row r="39" spans="1:4" ht="12.75">
      <c r="A39" s="346"/>
      <c r="B39" s="362">
        <v>730</v>
      </c>
      <c r="C39" s="360" t="s">
        <v>26</v>
      </c>
      <c r="D39" s="52"/>
    </row>
    <row r="40" spans="1:4" ht="12.75">
      <c r="A40" s="352">
        <f>A37+1</f>
        <v>16</v>
      </c>
      <c r="B40" s="353">
        <v>733151</v>
      </c>
      <c r="C40" s="354" t="s">
        <v>27</v>
      </c>
      <c r="D40" s="52">
        <v>88815000</v>
      </c>
    </row>
    <row r="41" spans="1:4" ht="12.75">
      <c r="A41" s="352">
        <f>A40+1</f>
        <v>17</v>
      </c>
      <c r="B41" s="353">
        <v>733152</v>
      </c>
      <c r="C41" s="354" t="s">
        <v>64</v>
      </c>
      <c r="D41" s="52"/>
    </row>
    <row r="42" spans="1:4" ht="12.75">
      <c r="A42" s="352">
        <f>A41+1</f>
        <v>18</v>
      </c>
      <c r="B42" s="353">
        <v>733154</v>
      </c>
      <c r="C42" s="354" t="s">
        <v>66</v>
      </c>
      <c r="D42" s="52"/>
    </row>
    <row r="43" spans="1:4" ht="12.75">
      <c r="A43" s="352"/>
      <c r="B43" s="353">
        <v>733157</v>
      </c>
      <c r="C43" s="354" t="s">
        <v>68</v>
      </c>
      <c r="D43" s="52"/>
    </row>
    <row r="44" spans="1:4" ht="12.75">
      <c r="A44" s="347"/>
      <c r="B44" s="347"/>
      <c r="C44" s="351" t="s">
        <v>28</v>
      </c>
      <c r="D44" s="4">
        <f>SUM(D40:D43)</f>
        <v>88815000</v>
      </c>
    </row>
    <row r="45" spans="1:4" ht="12.75">
      <c r="A45" s="352"/>
      <c r="B45" s="359">
        <v>741</v>
      </c>
      <c r="C45" s="360" t="s">
        <v>29</v>
      </c>
      <c r="D45" s="52"/>
    </row>
    <row r="46" spans="1:4" ht="12.75">
      <c r="A46" s="352">
        <f>A42+1</f>
        <v>19</v>
      </c>
      <c r="B46" s="353">
        <v>741150</v>
      </c>
      <c r="C46" s="172" t="s">
        <v>287</v>
      </c>
      <c r="D46" s="52">
        <v>5000000</v>
      </c>
    </row>
    <row r="47" spans="1:4" ht="12.75">
      <c r="A47" s="352">
        <f>+A46+1</f>
        <v>20</v>
      </c>
      <c r="B47" s="353">
        <v>741531</v>
      </c>
      <c r="C47" s="172" t="s">
        <v>30</v>
      </c>
      <c r="D47" s="52">
        <v>17000000</v>
      </c>
    </row>
    <row r="48" spans="1:4" ht="12.75">
      <c r="A48" s="172"/>
      <c r="B48" s="353"/>
      <c r="C48" s="172" t="s">
        <v>31</v>
      </c>
      <c r="D48" s="52"/>
    </row>
    <row r="49" spans="1:4" ht="12.75">
      <c r="A49" s="352"/>
      <c r="B49" s="353"/>
      <c r="C49" s="172" t="s">
        <v>32</v>
      </c>
      <c r="D49" s="52"/>
    </row>
    <row r="50" spans="1:4" ht="12.75">
      <c r="A50" s="352">
        <f>+A47+1</f>
        <v>21</v>
      </c>
      <c r="B50" s="353">
        <v>741532</v>
      </c>
      <c r="C50" s="172" t="s">
        <v>33</v>
      </c>
      <c r="D50" s="52">
        <v>200000</v>
      </c>
    </row>
    <row r="51" spans="1:4" ht="12.75">
      <c r="A51" s="352">
        <f>+A50+1</f>
        <v>22</v>
      </c>
      <c r="B51" s="353">
        <v>741534</v>
      </c>
      <c r="C51" s="172" t="s">
        <v>34</v>
      </c>
      <c r="D51" s="52">
        <v>3000000</v>
      </c>
    </row>
    <row r="52" spans="1:4" ht="12.75">
      <c r="A52" s="352">
        <f>A51+1</f>
        <v>23</v>
      </c>
      <c r="B52" s="353">
        <v>741535</v>
      </c>
      <c r="C52" s="172" t="s">
        <v>35</v>
      </c>
      <c r="D52" s="52">
        <v>300000</v>
      </c>
    </row>
    <row r="53" spans="1:4" ht="12.75">
      <c r="A53" s="352">
        <f>A52+1</f>
        <v>24</v>
      </c>
      <c r="B53" s="353">
        <v>741540</v>
      </c>
      <c r="C53" s="354" t="s">
        <v>36</v>
      </c>
      <c r="D53" s="52">
        <v>7000000</v>
      </c>
    </row>
    <row r="54" spans="1:4" ht="12.75">
      <c r="A54" s="352">
        <f>A53+1</f>
        <v>25</v>
      </c>
      <c r="B54" s="353">
        <v>741569</v>
      </c>
      <c r="C54" s="354" t="s">
        <v>63</v>
      </c>
      <c r="D54" s="52">
        <v>100000</v>
      </c>
    </row>
    <row r="55" spans="1:4" ht="12.75">
      <c r="A55" s="347"/>
      <c r="B55" s="347"/>
      <c r="C55" s="351" t="s">
        <v>37</v>
      </c>
      <c r="D55" s="4">
        <f>SUM(D46:D54)</f>
        <v>32600000</v>
      </c>
    </row>
    <row r="56" spans="1:4" ht="12.75">
      <c r="A56" s="346"/>
      <c r="B56" s="346"/>
      <c r="C56" s="340"/>
      <c r="D56" s="6"/>
    </row>
    <row r="57" spans="1:4" ht="12.75">
      <c r="A57" s="346"/>
      <c r="B57" s="359">
        <v>742</v>
      </c>
      <c r="C57" s="360" t="s">
        <v>38</v>
      </c>
      <c r="D57" s="52"/>
    </row>
    <row r="58" spans="1:4" ht="12.75">
      <c r="A58" s="352">
        <f>A54+1</f>
        <v>26</v>
      </c>
      <c r="B58" s="353">
        <v>742153</v>
      </c>
      <c r="C58" s="172" t="s">
        <v>126</v>
      </c>
      <c r="D58" s="52">
        <v>1000000</v>
      </c>
    </row>
    <row r="59" spans="1:4" ht="12.75">
      <c r="A59" s="352">
        <f>A58+1</f>
        <v>27</v>
      </c>
      <c r="B59" s="353">
        <v>742251</v>
      </c>
      <c r="C59" s="172" t="s">
        <v>39</v>
      </c>
      <c r="D59" s="52">
        <v>3900000</v>
      </c>
    </row>
    <row r="60" spans="1:4" ht="12.75">
      <c r="A60" s="352">
        <f>A59+1</f>
        <v>28</v>
      </c>
      <c r="B60" s="353">
        <v>742253</v>
      </c>
      <c r="C60" s="172" t="s">
        <v>40</v>
      </c>
      <c r="D60" s="52">
        <v>60000000</v>
      </c>
    </row>
    <row r="61" spans="1:4" ht="12.75">
      <c r="A61" s="352">
        <f>A60+1</f>
        <v>29</v>
      </c>
      <c r="B61" s="353">
        <v>742351</v>
      </c>
      <c r="C61" s="354" t="s">
        <v>41</v>
      </c>
      <c r="D61" s="52">
        <v>2200000</v>
      </c>
    </row>
    <row r="62" spans="1:4" ht="12.75">
      <c r="A62" s="347"/>
      <c r="B62" s="347"/>
      <c r="C62" s="351" t="s">
        <v>42</v>
      </c>
      <c r="D62" s="32">
        <f>SUM(D58:D61)</f>
        <v>67100000</v>
      </c>
    </row>
    <row r="63" spans="1:4" ht="12.75">
      <c r="A63" s="352"/>
      <c r="B63" s="359">
        <v>743</v>
      </c>
      <c r="C63" s="360" t="s">
        <v>43</v>
      </c>
      <c r="D63" s="52"/>
    </row>
    <row r="64" spans="1:4" ht="12.75">
      <c r="A64" s="352">
        <f>A61+1</f>
        <v>30</v>
      </c>
      <c r="B64" s="353">
        <v>743324</v>
      </c>
      <c r="C64" s="172" t="s">
        <v>44</v>
      </c>
      <c r="D64" s="52">
        <v>5300000</v>
      </c>
    </row>
    <row r="65" spans="1:4" ht="12.75">
      <c r="A65" s="352">
        <f>A64+1</f>
        <v>31</v>
      </c>
      <c r="B65" s="353">
        <v>743351</v>
      </c>
      <c r="C65" s="172" t="s">
        <v>45</v>
      </c>
      <c r="D65" s="52">
        <v>600000</v>
      </c>
    </row>
    <row r="66" spans="1:4" ht="12.75">
      <c r="A66" s="352"/>
      <c r="B66" s="353"/>
      <c r="C66" s="172" t="s">
        <v>46</v>
      </c>
      <c r="D66" s="52"/>
    </row>
    <row r="67" spans="1:4" ht="12.75">
      <c r="A67" s="352"/>
      <c r="B67" s="353"/>
      <c r="C67" s="354" t="s">
        <v>47</v>
      </c>
      <c r="D67" s="52"/>
    </row>
    <row r="68" spans="1:4" ht="12.75">
      <c r="A68" s="347"/>
      <c r="B68" s="347"/>
      <c r="C68" s="351" t="s">
        <v>48</v>
      </c>
      <c r="D68" s="4">
        <f>SUM(D64:D67)</f>
        <v>5900000</v>
      </c>
    </row>
    <row r="69" spans="1:4" ht="12.75">
      <c r="A69" s="352"/>
      <c r="B69" s="362">
        <v>744</v>
      </c>
      <c r="C69" s="340" t="s">
        <v>49</v>
      </c>
      <c r="D69" s="52"/>
    </row>
    <row r="70" spans="1:4" ht="12.75">
      <c r="A70" s="352">
        <f>A65+1</f>
        <v>32</v>
      </c>
      <c r="B70" s="346">
        <v>744151</v>
      </c>
      <c r="C70" s="354" t="s">
        <v>50</v>
      </c>
      <c r="D70" s="52">
        <v>1000000</v>
      </c>
    </row>
    <row r="71" spans="1:4" ht="12.75">
      <c r="A71" s="352"/>
      <c r="B71" s="346"/>
      <c r="C71" s="354" t="s">
        <v>51</v>
      </c>
      <c r="D71" s="52"/>
    </row>
    <row r="72" spans="1:4" ht="12.75">
      <c r="A72" s="347"/>
      <c r="B72" s="347"/>
      <c r="C72" s="351" t="s">
        <v>52</v>
      </c>
      <c r="D72" s="4">
        <f>D70</f>
        <v>1000000</v>
      </c>
    </row>
    <row r="73" spans="1:4" ht="12.75">
      <c r="A73" s="352"/>
      <c r="B73" s="359">
        <v>745</v>
      </c>
      <c r="C73" s="360" t="s">
        <v>53</v>
      </c>
      <c r="D73" s="52"/>
    </row>
    <row r="74" spans="1:4" ht="12.75">
      <c r="A74" s="352">
        <f>A70+1</f>
        <v>33</v>
      </c>
      <c r="B74" s="352">
        <v>745150</v>
      </c>
      <c r="C74" s="354" t="s">
        <v>54</v>
      </c>
      <c r="D74" s="52">
        <v>1100000</v>
      </c>
    </row>
    <row r="75" spans="1:4" ht="12.75">
      <c r="A75" s="347"/>
      <c r="B75" s="347"/>
      <c r="C75" s="351" t="s">
        <v>55</v>
      </c>
      <c r="D75" s="55">
        <f>SUM(D74:D74)</f>
        <v>1100000</v>
      </c>
    </row>
    <row r="76" spans="1:4" ht="12.75">
      <c r="A76" s="344"/>
      <c r="B76" s="344">
        <v>813151</v>
      </c>
      <c r="C76" s="363" t="s">
        <v>65</v>
      </c>
      <c r="D76" s="55"/>
    </row>
    <row r="77" spans="1:4" ht="12.75">
      <c r="A77" s="347"/>
      <c r="B77" s="347"/>
      <c r="C77" s="364" t="s">
        <v>127</v>
      </c>
      <c r="D77" s="52"/>
    </row>
    <row r="78" spans="1:4" ht="13.5" thickBot="1">
      <c r="A78" s="365"/>
      <c r="B78" s="366" t="s">
        <v>56</v>
      </c>
      <c r="C78" s="367"/>
      <c r="D78" s="63">
        <f>D76+D75+D72+D68+D62+D55+D44+D38+D35+D32+D24+D16+D19</f>
        <v>608645000</v>
      </c>
    </row>
    <row r="79" ht="12.75">
      <c r="D79" s="54">
        <f>+D78-'Tabelarni deo rashodi'!H1129</f>
        <v>-214758773.39999998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D4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1.57421875" style="0" customWidth="1"/>
    <col min="4" max="4" width="20.140625" style="0" customWidth="1"/>
  </cols>
  <sheetData>
    <row r="3" spans="2:4" ht="15">
      <c r="B3" s="379" t="s">
        <v>1</v>
      </c>
      <c r="C3" s="379" t="s">
        <v>69</v>
      </c>
      <c r="D3" s="381" t="s">
        <v>314</v>
      </c>
    </row>
    <row r="4" spans="2:4" ht="15">
      <c r="B4" s="380" t="s">
        <v>3</v>
      </c>
      <c r="C4" s="376"/>
      <c r="D4" s="378"/>
    </row>
    <row r="5" spans="2:4" ht="15">
      <c r="B5" s="373">
        <v>1</v>
      </c>
      <c r="C5" s="370" t="s">
        <v>291</v>
      </c>
      <c r="D5" s="242">
        <v>8000000</v>
      </c>
    </row>
    <row r="6" spans="2:4" ht="15">
      <c r="B6" s="373">
        <v>2</v>
      </c>
      <c r="C6" s="370" t="s">
        <v>292</v>
      </c>
      <c r="D6" s="242">
        <f>15000000-1000000</f>
        <v>14000000</v>
      </c>
    </row>
    <row r="7" spans="2:4" ht="15">
      <c r="B7" s="373">
        <v>3</v>
      </c>
      <c r="C7" s="370" t="s">
        <v>293</v>
      </c>
      <c r="D7" s="242">
        <v>1500000</v>
      </c>
    </row>
    <row r="8" spans="2:4" ht="15">
      <c r="B8" s="373">
        <v>4</v>
      </c>
      <c r="C8" s="370" t="s">
        <v>294</v>
      </c>
      <c r="D8" s="242">
        <v>1000000</v>
      </c>
    </row>
    <row r="9" spans="2:4" ht="15">
      <c r="B9" s="373">
        <v>5</v>
      </c>
      <c r="C9" s="370" t="s">
        <v>295</v>
      </c>
      <c r="D9" s="242">
        <f>15000000-1300000</f>
        <v>13700000</v>
      </c>
    </row>
    <row r="10" spans="2:4" ht="15">
      <c r="B10" s="373">
        <v>6</v>
      </c>
      <c r="C10" s="370" t="s">
        <v>296</v>
      </c>
      <c r="D10" s="242">
        <v>100000</v>
      </c>
    </row>
    <row r="11" spans="2:4" ht="15">
      <c r="B11" s="373">
        <v>7</v>
      </c>
      <c r="C11" s="370" t="s">
        <v>315</v>
      </c>
      <c r="D11" s="242">
        <v>1150000</v>
      </c>
    </row>
    <row r="12" spans="2:4" ht="15">
      <c r="B12" s="373">
        <v>8</v>
      </c>
      <c r="C12" s="370" t="s">
        <v>316</v>
      </c>
      <c r="D12" s="242">
        <v>200000</v>
      </c>
    </row>
    <row r="13" spans="2:4" ht="15">
      <c r="B13" s="373">
        <v>9</v>
      </c>
      <c r="C13" s="370" t="s">
        <v>317</v>
      </c>
      <c r="D13" s="242">
        <v>200000</v>
      </c>
    </row>
    <row r="14" spans="2:4" ht="15">
      <c r="B14" s="373">
        <v>10</v>
      </c>
      <c r="C14" s="370" t="s">
        <v>297</v>
      </c>
      <c r="D14" s="242">
        <v>0</v>
      </c>
    </row>
    <row r="15" spans="2:4" ht="15">
      <c r="B15" s="373">
        <v>11</v>
      </c>
      <c r="C15" s="370" t="s">
        <v>318</v>
      </c>
      <c r="D15" s="242">
        <f>200000-22000</f>
        <v>178000</v>
      </c>
    </row>
    <row r="16" spans="2:4" ht="15">
      <c r="B16" s="373">
        <v>12</v>
      </c>
      <c r="C16" s="370" t="s">
        <v>319</v>
      </c>
      <c r="D16" s="242">
        <v>400000</v>
      </c>
    </row>
    <row r="17" spans="2:4" ht="15">
      <c r="B17" s="373">
        <v>13</v>
      </c>
      <c r="C17" s="370" t="s">
        <v>320</v>
      </c>
      <c r="D17" s="242">
        <v>400000</v>
      </c>
    </row>
    <row r="18" spans="2:4" ht="15">
      <c r="B18" s="373">
        <v>14</v>
      </c>
      <c r="C18" s="370" t="s">
        <v>298</v>
      </c>
      <c r="D18" s="242">
        <f>20000000-1000000</f>
        <v>19000000</v>
      </c>
    </row>
    <row r="19" spans="2:4" ht="15">
      <c r="B19" s="373">
        <v>15</v>
      </c>
      <c r="C19" s="370" t="s">
        <v>326</v>
      </c>
      <c r="D19" s="242">
        <v>1000000</v>
      </c>
    </row>
    <row r="20" spans="2:4" ht="15">
      <c r="B20" s="373">
        <v>16</v>
      </c>
      <c r="C20" s="370" t="s">
        <v>307</v>
      </c>
      <c r="D20" s="242">
        <v>1000000</v>
      </c>
    </row>
    <row r="21" spans="2:4" ht="15">
      <c r="B21" s="373">
        <v>17</v>
      </c>
      <c r="C21" s="370" t="s">
        <v>299</v>
      </c>
      <c r="D21" s="242">
        <v>6000000</v>
      </c>
    </row>
    <row r="22" spans="2:4" ht="15">
      <c r="B22" s="373">
        <v>18</v>
      </c>
      <c r="C22" s="370" t="s">
        <v>300</v>
      </c>
      <c r="D22" s="242">
        <v>2000000</v>
      </c>
    </row>
    <row r="23" spans="2:4" ht="15">
      <c r="B23" s="373">
        <v>19</v>
      </c>
      <c r="C23" s="370" t="s">
        <v>301</v>
      </c>
      <c r="D23" s="242">
        <v>500000</v>
      </c>
    </row>
    <row r="24" spans="2:4" ht="15">
      <c r="B24" s="373">
        <v>20</v>
      </c>
      <c r="C24" s="370" t="s">
        <v>321</v>
      </c>
      <c r="D24" s="242">
        <v>1400000</v>
      </c>
    </row>
    <row r="25" spans="2:4" ht="15">
      <c r="B25" s="373">
        <v>21</v>
      </c>
      <c r="C25" s="370" t="s">
        <v>306</v>
      </c>
      <c r="D25" s="242">
        <v>1000000</v>
      </c>
    </row>
    <row r="26" spans="2:4" ht="15">
      <c r="B26" s="373">
        <v>22</v>
      </c>
      <c r="C26" s="370" t="s">
        <v>302</v>
      </c>
      <c r="D26" s="242">
        <v>2000000</v>
      </c>
    </row>
    <row r="27" spans="2:4" ht="15">
      <c r="B27" s="373">
        <v>23</v>
      </c>
      <c r="C27" s="370" t="s">
        <v>303</v>
      </c>
      <c r="D27" s="242">
        <v>1500000</v>
      </c>
    </row>
    <row r="28" spans="2:4" ht="15">
      <c r="B28" s="373">
        <v>24</v>
      </c>
      <c r="C28" s="370" t="s">
        <v>304</v>
      </c>
      <c r="D28" s="242">
        <f>1500000+150000+600000</f>
        <v>2250000</v>
      </c>
    </row>
    <row r="29" spans="2:4" ht="15">
      <c r="B29" s="373">
        <v>25</v>
      </c>
      <c r="C29" s="370" t="s">
        <v>81</v>
      </c>
      <c r="D29" s="242">
        <v>1000000</v>
      </c>
    </row>
    <row r="30" spans="2:4" ht="15">
      <c r="B30" s="373">
        <v>26</v>
      </c>
      <c r="C30" s="370" t="s">
        <v>305</v>
      </c>
      <c r="D30" s="242">
        <v>5000000</v>
      </c>
    </row>
    <row r="31" spans="2:4" ht="15">
      <c r="B31" s="373">
        <v>27</v>
      </c>
      <c r="C31" s="370" t="s">
        <v>308</v>
      </c>
      <c r="D31" s="242">
        <v>2000000</v>
      </c>
    </row>
    <row r="32" spans="2:4" ht="15">
      <c r="B32" s="373">
        <v>28</v>
      </c>
      <c r="C32" s="370" t="s">
        <v>309</v>
      </c>
      <c r="D32" s="242">
        <v>2400000</v>
      </c>
    </row>
    <row r="33" spans="2:4" ht="15">
      <c r="B33" s="373">
        <v>29</v>
      </c>
      <c r="C33" s="370" t="s">
        <v>310</v>
      </c>
      <c r="D33" s="242">
        <v>1400000</v>
      </c>
    </row>
    <row r="34" spans="2:4" ht="15">
      <c r="B34" s="373">
        <v>30</v>
      </c>
      <c r="C34" s="375" t="s">
        <v>322</v>
      </c>
      <c r="D34" s="377">
        <v>5500000</v>
      </c>
    </row>
    <row r="35" spans="2:4" ht="15">
      <c r="B35" s="373">
        <v>31</v>
      </c>
      <c r="C35" s="375" t="s">
        <v>323</v>
      </c>
      <c r="D35" s="377">
        <v>-100000</v>
      </c>
    </row>
    <row r="36" spans="2:4" ht="15">
      <c r="B36" s="373">
        <v>32</v>
      </c>
      <c r="C36" s="375" t="s">
        <v>324</v>
      </c>
      <c r="D36" s="377">
        <v>100000</v>
      </c>
    </row>
    <row r="37" spans="2:4" ht="15">
      <c r="B37" s="373">
        <v>33</v>
      </c>
      <c r="C37" s="375" t="s">
        <v>325</v>
      </c>
      <c r="D37" s="377">
        <v>2000000</v>
      </c>
    </row>
    <row r="38" spans="2:4" ht="15">
      <c r="B38" s="373">
        <v>34</v>
      </c>
      <c r="C38" s="375" t="s">
        <v>94</v>
      </c>
      <c r="D38" s="377">
        <v>3000000</v>
      </c>
    </row>
    <row r="39" spans="2:4" ht="15">
      <c r="B39" s="373">
        <v>35</v>
      </c>
      <c r="C39" s="375" t="s">
        <v>93</v>
      </c>
      <c r="D39" s="377">
        <v>1000000</v>
      </c>
    </row>
    <row r="40" spans="2:4" ht="15">
      <c r="B40" s="373">
        <v>36</v>
      </c>
      <c r="C40" s="375" t="s">
        <v>327</v>
      </c>
      <c r="D40" s="377">
        <v>200000</v>
      </c>
    </row>
    <row r="41" spans="2:4" ht="15">
      <c r="B41" s="373">
        <v>37</v>
      </c>
      <c r="C41" s="375" t="s">
        <v>337</v>
      </c>
      <c r="D41" s="377">
        <v>900000</v>
      </c>
    </row>
    <row r="42" spans="2:4" ht="15">
      <c r="B42" s="373">
        <v>38</v>
      </c>
      <c r="C42" s="375" t="s">
        <v>338</v>
      </c>
      <c r="D42" s="377">
        <v>1500000</v>
      </c>
    </row>
    <row r="43" spans="2:4" ht="15.75" thickBot="1">
      <c r="B43" s="373"/>
      <c r="C43" s="371" t="s">
        <v>311</v>
      </c>
      <c r="D43" s="372">
        <f>SUM(D5:D42)</f>
        <v>104378000</v>
      </c>
    </row>
    <row r="4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Budzetski Inspektor</dc:creator>
  <cp:keywords/>
  <dc:description/>
  <cp:lastModifiedBy>Dule</cp:lastModifiedBy>
  <cp:lastPrinted>2015-05-26T11:41:36Z</cp:lastPrinted>
  <dcterms:created xsi:type="dcterms:W3CDTF">2010-11-24T11:55:25Z</dcterms:created>
  <dcterms:modified xsi:type="dcterms:W3CDTF">2015-05-29T13:36:36Z</dcterms:modified>
  <cp:category/>
  <cp:version/>
  <cp:contentType/>
  <cp:contentStatus/>
</cp:coreProperties>
</file>